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"/>
    </mc:Choice>
  </mc:AlternateContent>
  <bookViews>
    <workbookView xWindow="480" yWindow="420" windowWidth="14916" windowHeight="6720" activeTab="1"/>
  </bookViews>
  <sheets>
    <sheet name="Niveau de stock" sheetId="1" r:id="rId1"/>
    <sheet name="Maint Cor" sheetId="2" r:id="rId2"/>
    <sheet name="Maint Prév" sheetId="3" r:id="rId3"/>
    <sheet name="Maint Produ" sheetId="4" r:id="rId4"/>
    <sheet name="Gestion des PDR" sheetId="5" r:id="rId5"/>
    <sheet name="CGM" sheetId="10" r:id="rId6"/>
    <sheet name="TRS" sheetId="11" r:id="rId7"/>
    <sheet name="Suivi des interventions" sheetId="6" r:id="rId8"/>
    <sheet name="EX TB1" sheetId="7" r:id="rId9"/>
    <sheet name="EX TB2" sheetId="8" r:id="rId10"/>
    <sheet name="Feuil1" sheetId="12" r:id="rId11"/>
  </sheets>
  <externalReferences>
    <externalReference r:id="rId12"/>
  </externalReferences>
  <calcPr calcId="171027"/>
</workbook>
</file>

<file path=xl/calcChain.xml><?xml version="1.0" encoding="utf-8"?>
<calcChain xmlns="http://schemas.openxmlformats.org/spreadsheetml/2006/main">
  <c r="B41" i="3" l="1"/>
  <c r="B32" i="3"/>
  <c r="B31" i="3"/>
  <c r="B34" i="3"/>
  <c r="B21" i="2"/>
  <c r="B22" i="2" s="1"/>
  <c r="B24" i="2" s="1"/>
  <c r="B25" i="11"/>
  <c r="B19" i="11"/>
  <c r="B17" i="11"/>
  <c r="B18" i="11" s="1"/>
  <c r="B20" i="11" s="1"/>
  <c r="D11" i="2"/>
  <c r="D14" i="5"/>
  <c r="B61" i="5"/>
  <c r="B9" i="3"/>
  <c r="E40" i="5"/>
  <c r="B50" i="5" s="1"/>
  <c r="B45" i="3"/>
  <c r="I11" i="12"/>
  <c r="J4" i="12"/>
  <c r="I4" i="12"/>
  <c r="I3" i="12"/>
  <c r="J6" i="12" s="1"/>
  <c r="C3" i="12"/>
  <c r="D6" i="12" s="1"/>
  <c r="C7" i="12"/>
  <c r="C4" i="12"/>
  <c r="C5" i="12" s="1"/>
  <c r="D4" i="12"/>
  <c r="C37" i="11"/>
  <c r="C33" i="11"/>
  <c r="C12" i="4"/>
  <c r="B35" i="11" l="1"/>
  <c r="B21" i="11"/>
  <c r="B22" i="11" s="1"/>
  <c r="B23" i="11" s="1"/>
  <c r="C16" i="12"/>
  <c r="I20" i="12"/>
  <c r="C9" i="12"/>
  <c r="C10" i="12" s="1"/>
  <c r="C17" i="12" s="1"/>
  <c r="I9" i="12"/>
  <c r="I10" i="12" s="1"/>
  <c r="I22" i="12" s="1"/>
  <c r="I16" i="12"/>
  <c r="C20" i="12"/>
  <c r="I5" i="12"/>
  <c r="J5" i="12" s="1"/>
  <c r="B59" i="5"/>
  <c r="D5" i="12"/>
  <c r="B60" i="3"/>
  <c r="B59" i="3"/>
  <c r="B25" i="3"/>
  <c r="B67" i="2"/>
  <c r="B42" i="2"/>
  <c r="B41" i="2"/>
  <c r="B35" i="2"/>
  <c r="B34" i="2"/>
  <c r="B23" i="10"/>
  <c r="B22" i="10"/>
  <c r="F12" i="8"/>
  <c r="D12" i="8"/>
  <c r="I9" i="8"/>
  <c r="J12" i="8" s="1"/>
  <c r="G9" i="8"/>
  <c r="H12" i="8" s="1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R28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R26" i="7"/>
  <c r="H12" i="7" s="1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R24" i="7"/>
  <c r="H7" i="7" s="1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K17" i="7"/>
  <c r="E17" i="7"/>
  <c r="G17" i="7" s="1"/>
  <c r="K12" i="7"/>
  <c r="E12" i="7"/>
  <c r="G12" i="7" s="1"/>
  <c r="K7" i="7"/>
  <c r="E7" i="7"/>
  <c r="I7" i="7" s="1"/>
  <c r="R5" i="7"/>
  <c r="I17" i="12" l="1"/>
  <c r="C22" i="12"/>
  <c r="B25" i="10"/>
  <c r="B63" i="3"/>
  <c r="B29" i="11"/>
  <c r="B44" i="2"/>
  <c r="E44" i="2" s="1"/>
  <c r="B38" i="2"/>
  <c r="H9" i="8"/>
  <c r="B12" i="8" s="1"/>
  <c r="C59" i="2"/>
  <c r="R27" i="7"/>
  <c r="R30" i="7"/>
  <c r="R25" i="7"/>
  <c r="R29" i="7"/>
  <c r="H17" i="7" s="1"/>
  <c r="I12" i="7"/>
  <c r="L12" i="7" s="1"/>
  <c r="M12" i="7" s="1"/>
  <c r="L7" i="7"/>
  <c r="C8" i="7" s="1"/>
  <c r="B66" i="2"/>
  <c r="B70" i="2" s="1"/>
  <c r="J7" i="7"/>
  <c r="G7" i="7"/>
  <c r="I17" i="7"/>
  <c r="L17" i="7" s="1"/>
  <c r="C13" i="7" l="1"/>
  <c r="E45" i="2"/>
  <c r="B46" i="2" s="1"/>
  <c r="B24" i="11"/>
  <c r="M7" i="7"/>
  <c r="Q6" i="7"/>
  <c r="J12" i="7"/>
  <c r="C18" i="7"/>
  <c r="M17" i="7"/>
  <c r="J17" i="7"/>
  <c r="B34" i="5"/>
  <c r="B28" i="5" s="1"/>
  <c r="E30" i="5" s="1"/>
  <c r="E19" i="5"/>
  <c r="B49" i="5"/>
  <c r="E50" i="5" s="1"/>
  <c r="B60" i="5" s="1"/>
  <c r="E61" i="5" s="1"/>
  <c r="C14" i="5"/>
  <c r="E6" i="5"/>
  <c r="B7" i="5" s="1"/>
  <c r="E7" i="5" s="1"/>
  <c r="B8" i="5" s="1"/>
  <c r="E8" i="5" s="1"/>
  <c r="B9" i="5" s="1"/>
  <c r="E9" i="5" s="1"/>
  <c r="B10" i="5" s="1"/>
  <c r="E10" i="5" s="1"/>
  <c r="B11" i="5" s="1"/>
  <c r="E11" i="5" s="1"/>
  <c r="B12" i="5" s="1"/>
  <c r="E12" i="5" s="1"/>
  <c r="B13" i="5" s="1"/>
  <c r="E13" i="5" s="1"/>
  <c r="B26" i="11" l="1"/>
  <c r="B30" i="11"/>
  <c r="B7" i="4"/>
  <c r="B71" i="3"/>
  <c r="B7" i="3"/>
  <c r="B33" i="11" l="1"/>
  <c r="B37" i="11"/>
  <c r="B31" i="11"/>
</calcChain>
</file>

<file path=xl/sharedStrings.xml><?xml version="1.0" encoding="utf-8"?>
<sst xmlns="http://schemas.openxmlformats.org/spreadsheetml/2006/main" count="384" uniqueCount="262">
  <si>
    <t>Pièces</t>
  </si>
  <si>
    <t>étages</t>
  </si>
  <si>
    <t>jrs</t>
  </si>
  <si>
    <t>Capacité maximale de stockage</t>
  </si>
  <si>
    <t>Cons prévue lors de livraison</t>
  </si>
  <si>
    <t>prévent en cas de retard de liv</t>
  </si>
  <si>
    <t>stock qui déclenche la Cde</t>
  </si>
  <si>
    <t>Données disponibles pour un roulement à billes XVY</t>
  </si>
  <si>
    <t>=</t>
  </si>
  <si>
    <t>6*2= 12</t>
  </si>
  <si>
    <t>1*6=6</t>
  </si>
  <si>
    <t>Stock maximum               Smx</t>
  </si>
  <si>
    <t>Stock minimum               Smn</t>
  </si>
  <si>
    <t>Stock d'alérte                   Sale</t>
  </si>
  <si>
    <t>Stock sécurité                  Ssec</t>
  </si>
  <si>
    <t>12+6=18</t>
  </si>
  <si>
    <t>Smin+Ssec</t>
  </si>
  <si>
    <t>Données de base</t>
  </si>
  <si>
    <t>On veut mesurer les performances de la conditionneuse CRV8 pour le 10/04/2021</t>
  </si>
  <si>
    <t xml:space="preserve">Heures d'ouverture </t>
  </si>
  <si>
    <t xml:space="preserve">Nombre de pannes </t>
  </si>
  <si>
    <t>Durées des Arrêts  de la production</t>
  </si>
  <si>
    <t>Durées des Arrêts  de la maintenance</t>
  </si>
  <si>
    <t>Durées des interventions</t>
  </si>
  <si>
    <t>hr</t>
  </si>
  <si>
    <t>Calcul du taux de la disponibilité technique</t>
  </si>
  <si>
    <t>LE TDT</t>
  </si>
  <si>
    <t>Temps de fonctionnement Brute</t>
  </si>
  <si>
    <t>Temps de fonctionnement Net (Temps Disp tech)</t>
  </si>
  <si>
    <t>TDT</t>
  </si>
  <si>
    <t>Indicateurs Analytiques du TDT</t>
  </si>
  <si>
    <t xml:space="preserve">Durée d'arrêt </t>
  </si>
  <si>
    <t>Durée d'intervention</t>
  </si>
  <si>
    <t>Calcul du Taux de la réactivité de la maintenance le TRM</t>
  </si>
  <si>
    <t>Calcul du moyen de temps technique de réparation  le MTTR</t>
  </si>
  <si>
    <t>Durée d'interventions</t>
  </si>
  <si>
    <t>Nombre d'interventions</t>
  </si>
  <si>
    <t>MTTR</t>
  </si>
  <si>
    <t>Calcul du coût de la maintenance corrective le CMC</t>
  </si>
  <si>
    <t>Coût direct de la MC</t>
  </si>
  <si>
    <t>Capacité horraire de la machine</t>
  </si>
  <si>
    <t>Coût des PDR consommées</t>
  </si>
  <si>
    <t>DH</t>
  </si>
  <si>
    <t xml:space="preserve">Coût horaire des intervenants </t>
  </si>
  <si>
    <t>Coût des PDR et consommables</t>
  </si>
  <si>
    <t>Coût de la MO</t>
  </si>
  <si>
    <t>Coût des prestations</t>
  </si>
  <si>
    <t>CDMC</t>
  </si>
  <si>
    <t xml:space="preserve">Capcité de la machine </t>
  </si>
  <si>
    <t>Durée des arrêts</t>
  </si>
  <si>
    <t xml:space="preserve">CIMC = Pertes en CAF = Pertes en coûts de production </t>
  </si>
  <si>
    <t>Exemple de calcul des niveaux de stock</t>
  </si>
  <si>
    <t>Nombre des étages  de stockage *B</t>
  </si>
  <si>
    <t>Capacité de stockage /étage *C</t>
  </si>
  <si>
    <t>Délais de livraison de fournisseur*D</t>
  </si>
  <si>
    <t>Marge de retard de livraison fournisseur *E</t>
  </si>
  <si>
    <t>B*C</t>
  </si>
  <si>
    <t>Moyenne de sorties journalière *A</t>
  </si>
  <si>
    <t>A*D</t>
  </si>
  <si>
    <t>A*E</t>
  </si>
  <si>
    <t>Mode de calcul</t>
  </si>
  <si>
    <t>2*15=30</t>
  </si>
  <si>
    <t xml:space="preserve">CMC </t>
  </si>
  <si>
    <t>Durées des interventions correctives</t>
  </si>
  <si>
    <t>dh</t>
  </si>
  <si>
    <t>Nombre de pannes</t>
  </si>
  <si>
    <t>NP</t>
  </si>
  <si>
    <t>Durées des interventions préventives</t>
  </si>
  <si>
    <t>On veut mesurer les performances de la conditionneuse CRV8 pour la semaine du 10/04/2021</t>
  </si>
  <si>
    <t>Taux de la maintenance préventive</t>
  </si>
  <si>
    <t>TMP</t>
  </si>
  <si>
    <t>Temps de déroulement des interventions Prév</t>
  </si>
  <si>
    <t>Moyen de temps de bon fonctionnement</t>
  </si>
  <si>
    <t>MTBF</t>
  </si>
  <si>
    <t>Temps total de bon fonctionnement</t>
  </si>
  <si>
    <t>Coût direct de la MP</t>
  </si>
  <si>
    <t>Coût Indirect de la MP</t>
  </si>
  <si>
    <t>Coût Indirect de la MC</t>
  </si>
  <si>
    <t>CMP</t>
  </si>
  <si>
    <t xml:space="preserve">CIMP = Pertes en CAF = Pertes en coûts de production </t>
  </si>
  <si>
    <t>Nombre des pannes</t>
  </si>
  <si>
    <t>Nombre des dysfonctionnement traités lors de l'analyse causale</t>
  </si>
  <si>
    <t>Dysf</t>
  </si>
  <si>
    <t>Nombre des dysfonctionnement traités et non répétés</t>
  </si>
  <si>
    <t>Pannes</t>
  </si>
  <si>
    <t>Taux d'éfficacité de la MP</t>
  </si>
  <si>
    <t>TEMP</t>
  </si>
  <si>
    <t>STOCK MOYEN</t>
  </si>
  <si>
    <t>Date de mouvement</t>
  </si>
  <si>
    <t>Types de mouvement</t>
  </si>
  <si>
    <t>Stock initial</t>
  </si>
  <si>
    <t>Entrée</t>
  </si>
  <si>
    <t>Sortie</t>
  </si>
  <si>
    <t>Stok Final</t>
  </si>
  <si>
    <t>Données disponibles pour un roulement à billes XVY pour la pariode du mois 09/2022</t>
  </si>
  <si>
    <t>Stcok final</t>
  </si>
  <si>
    <t>SM</t>
  </si>
  <si>
    <t>Taux de rotation de stock</t>
  </si>
  <si>
    <t xml:space="preserve">Total des sorties </t>
  </si>
  <si>
    <t>TOT</t>
  </si>
  <si>
    <t>TR</t>
  </si>
  <si>
    <t>Taux de ruptures</t>
  </si>
  <si>
    <t>Nombre de rupture</t>
  </si>
  <si>
    <t>Nombre total des demandes</t>
  </si>
  <si>
    <t>TRU</t>
  </si>
  <si>
    <t>%</t>
  </si>
  <si>
    <t>Durée Moyenne</t>
  </si>
  <si>
    <t>Stock moyen</t>
  </si>
  <si>
    <t>DM</t>
  </si>
  <si>
    <t>Le coût global de stockage CGS</t>
  </si>
  <si>
    <t>Valeur en stock</t>
  </si>
  <si>
    <t>Coût de possssion de  stock</t>
  </si>
  <si>
    <t>Salaires</t>
  </si>
  <si>
    <t>Loyers</t>
  </si>
  <si>
    <t>Energie</t>
  </si>
  <si>
    <t>TOTAL</t>
  </si>
  <si>
    <t>Autres coûts</t>
  </si>
  <si>
    <t>Coût administratifs</t>
  </si>
  <si>
    <t>CGS</t>
  </si>
  <si>
    <t>INDICATEURS PRINCIPAUX</t>
  </si>
  <si>
    <t>INDICATEURS ANALYTIQUES</t>
  </si>
  <si>
    <t>Base de donnée</t>
  </si>
  <si>
    <t>Infos globales</t>
  </si>
  <si>
    <t>infos interventions</t>
  </si>
  <si>
    <t xml:space="preserve">Date </t>
  </si>
  <si>
    <t>Equipe</t>
  </si>
  <si>
    <t>Atelier</t>
  </si>
  <si>
    <t>Machine</t>
  </si>
  <si>
    <t>Description intervention</t>
  </si>
  <si>
    <t>N° DI</t>
  </si>
  <si>
    <t>N° RI</t>
  </si>
  <si>
    <t>Type interv (Cor/Prév)</t>
  </si>
  <si>
    <t>Nature (Méc/Elec)</t>
  </si>
  <si>
    <t>Mode : (AA/SA)</t>
  </si>
  <si>
    <t>Responsable</t>
  </si>
  <si>
    <t>Durée d'arrêt</t>
  </si>
  <si>
    <t>Durée intervention</t>
  </si>
  <si>
    <t>PDR utilisé</t>
  </si>
  <si>
    <t>Coût PDR</t>
  </si>
  <si>
    <t>Coût soustraitant</t>
  </si>
  <si>
    <t>TABLEAU DE BORD TECHNIQUE</t>
  </si>
  <si>
    <t>Service Technique</t>
  </si>
  <si>
    <t>S</t>
  </si>
  <si>
    <t>Gestion des interventions</t>
  </si>
  <si>
    <t>Temps d'ouverture</t>
  </si>
  <si>
    <t>Temps d'arrêts production</t>
  </si>
  <si>
    <t>Nombre d'arrêts production</t>
  </si>
  <si>
    <t>Temps d'arrêt maintenance</t>
  </si>
  <si>
    <t>nombre d'arrêts maintenance</t>
  </si>
  <si>
    <t>Temps de réparation</t>
  </si>
  <si>
    <t>temps de fonctionnement brute</t>
  </si>
  <si>
    <t>Temps de fonctionnement net</t>
  </si>
  <si>
    <t>Ecart réactivité</t>
  </si>
  <si>
    <t>Temps de la maintenance préventive</t>
  </si>
  <si>
    <t>Taux de disponibilité</t>
  </si>
  <si>
    <t>Taux de la MP</t>
  </si>
  <si>
    <t>Taux de réactivité</t>
  </si>
  <si>
    <t>Gestion des stocks*</t>
  </si>
  <si>
    <t>Coûts  maintenance</t>
  </si>
  <si>
    <t>Equipe A</t>
  </si>
  <si>
    <t>MERCREDI de la Semaine 10</t>
  </si>
  <si>
    <t>Unité</t>
  </si>
  <si>
    <t>Qté produite</t>
  </si>
  <si>
    <t>Perte</t>
  </si>
  <si>
    <t>Débit Horaire</t>
  </si>
  <si>
    <t>Durée cycle théorique
(Heures)</t>
  </si>
  <si>
    <t>Heures de production</t>
  </si>
  <si>
    <t>Quantité théorique</t>
  </si>
  <si>
    <t>Temps brut de fonctionn.</t>
  </si>
  <si>
    <t>Temps net de fonctionn.</t>
  </si>
  <si>
    <t>Ecart de performance</t>
  </si>
  <si>
    <t>Temps perdu pour non-conformité</t>
  </si>
  <si>
    <t>Temps utile</t>
  </si>
  <si>
    <t>TRG</t>
  </si>
  <si>
    <t>TRG global :</t>
  </si>
  <si>
    <t>CO2 200kg/h</t>
  </si>
  <si>
    <t xml:space="preserve">TRS Equipe A: </t>
  </si>
  <si>
    <t>Equipe B</t>
  </si>
  <si>
    <t>Temps net de fonctionnmen</t>
  </si>
  <si>
    <t>TRS Equipe B :</t>
  </si>
  <si>
    <t>Equipe C</t>
  </si>
  <si>
    <t>TRS Equipe C :</t>
  </si>
  <si>
    <t>ARRETS 
(EN HEURES)</t>
  </si>
  <si>
    <t>Durée</t>
  </si>
  <si>
    <t>Pourcentage</t>
  </si>
  <si>
    <t>Pourcentage global</t>
  </si>
  <si>
    <t>ATTENTION :</t>
  </si>
  <si>
    <t>Pour les causes d'arrêt, seule la journée du LUNDI prend en compte des rajouts</t>
  </si>
  <si>
    <t>TABLEAU DE BORD DES PERFORMANCES</t>
  </si>
  <si>
    <t>Equipement / Ligne</t>
  </si>
  <si>
    <t>Coûts directs de la MC</t>
  </si>
  <si>
    <t>Coûts directs de la MP</t>
  </si>
  <si>
    <t>Coûts indirects de la MC</t>
  </si>
  <si>
    <t>Coûts indirects de la MP</t>
  </si>
  <si>
    <t>Masse salariale du service</t>
  </si>
  <si>
    <t>Coûts des PDR et préstataires</t>
  </si>
  <si>
    <t>Valeurs en stock</t>
  </si>
  <si>
    <t>Loyes</t>
  </si>
  <si>
    <t>Energies</t>
  </si>
  <si>
    <t xml:space="preserve">Autres </t>
  </si>
  <si>
    <t>On veut caculer le coût global de la maintenance du mois de septembre 2022</t>
  </si>
  <si>
    <t>MDH</t>
  </si>
  <si>
    <t xml:space="preserve">CALCUL DU COUT GLOBAL DE LA MAINTENANCE </t>
  </si>
  <si>
    <t>Coûts indirects</t>
  </si>
  <si>
    <t>Budget global du mois</t>
  </si>
  <si>
    <t>CGM</t>
  </si>
  <si>
    <t xml:space="preserve">Coûts directs </t>
  </si>
  <si>
    <t>Coûts Indirects</t>
  </si>
  <si>
    <t>Coût global du stock            le CGS</t>
  </si>
  <si>
    <t>Nettoyage</t>
  </si>
  <si>
    <t>Maintenance préventive</t>
  </si>
  <si>
    <t>Durée des pannes maintenance</t>
  </si>
  <si>
    <t>Capacité de la machine</t>
  </si>
  <si>
    <t>P/hr</t>
  </si>
  <si>
    <t>Production non conforme</t>
  </si>
  <si>
    <t>Temps requis</t>
  </si>
  <si>
    <t>Temps de bon fonctionnement</t>
  </si>
  <si>
    <t>Temps net de fonctionnement</t>
  </si>
  <si>
    <t>Temps de production conforme</t>
  </si>
  <si>
    <t>Arrêts programmés</t>
  </si>
  <si>
    <t>Arrêts non programmés</t>
  </si>
  <si>
    <t>Production théorique</t>
  </si>
  <si>
    <t>Ecart de production en pièces</t>
  </si>
  <si>
    <t>Ecart en temps</t>
  </si>
  <si>
    <t>Temps de production des rebuts</t>
  </si>
  <si>
    <t>TRS</t>
  </si>
  <si>
    <t>Taux de performance</t>
  </si>
  <si>
    <t>Taux de la qualité</t>
  </si>
  <si>
    <t>On veut mesurer le TRS de la conditionneuse CRV8 pour le 15/04/2021</t>
  </si>
  <si>
    <t>C de production</t>
  </si>
  <si>
    <t>CAF PERDU</t>
  </si>
  <si>
    <t>TRM</t>
  </si>
  <si>
    <t>Calcul du coût de la maintenance Préventive le CMP</t>
  </si>
  <si>
    <t>TC</t>
  </si>
  <si>
    <t>Taux de la disponibilité Technique</t>
  </si>
  <si>
    <t>Temps de fonctionnement brute</t>
  </si>
  <si>
    <t>Temps de disponibilité technique</t>
  </si>
  <si>
    <t>CAF 3</t>
  </si>
  <si>
    <t>Equipe 1</t>
  </si>
  <si>
    <t>capacite theorique en Kg/min</t>
  </si>
  <si>
    <t>heure d'ouverture en min</t>
  </si>
  <si>
    <t>Qté théorique en kg dans le temps d'ouverture</t>
  </si>
  <si>
    <t>ARR PROGRAMME en min</t>
  </si>
  <si>
    <t xml:space="preserve">Qté reélle produite </t>
  </si>
  <si>
    <t>ARR NON PROGRAMME en min</t>
  </si>
  <si>
    <t>temps net de la production réalisée</t>
  </si>
  <si>
    <t>TRG de l'équipe</t>
  </si>
  <si>
    <t>Taux de performance / T efficacité</t>
  </si>
  <si>
    <t>TRS de l'équipe</t>
  </si>
  <si>
    <t>Equipe 2</t>
  </si>
  <si>
    <t>CDMP</t>
  </si>
  <si>
    <t>Durées des Arrêts  de la maintenance corrective</t>
  </si>
  <si>
    <t>Coût des PDR consommées pour la maintenance préventive</t>
  </si>
  <si>
    <t>Coût des PDR consommées pour la maintenance corrective</t>
  </si>
  <si>
    <t>Qté produite réelle</t>
  </si>
  <si>
    <t>Quantité Déchets</t>
  </si>
  <si>
    <t>TAUX DE ROTATION</t>
  </si>
  <si>
    <t>Durée de la période</t>
  </si>
  <si>
    <t>Changement de serie nn planifier</t>
  </si>
  <si>
    <t>Quanité produite conforme</t>
  </si>
  <si>
    <t>Temps de déroulement des arrets Corre</t>
  </si>
  <si>
    <t>Nombre d'arret maintenance et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</si>
</sst>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3" borderId="0" xfId="0" applyFill="1"/>
    <xf numFmtId="0" fontId="0" fillId="0" borderId="0" xfId="0" applyFill="1"/>
    <xf numFmtId="0" fontId="5" fillId="0" borderId="0" xfId="0" applyFont="1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14" fontId="0" fillId="0" borderId="0" xfId="0" applyNumberFormat="1"/>
    <xf numFmtId="14" fontId="7" fillId="0" borderId="0" xfId="0" applyNumberFormat="1" applyFont="1" applyFill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" fillId="0" borderId="0" xfId="0" applyFont="1"/>
    <xf numFmtId="0" fontId="0" fillId="0" borderId="1" xfId="0" applyBorder="1"/>
    <xf numFmtId="0" fontId="0" fillId="6" borderId="1" xfId="0" applyFill="1" applyBorder="1"/>
    <xf numFmtId="0" fontId="1" fillId="6" borderId="1" xfId="0" applyFont="1" applyFill="1" applyBorder="1"/>
    <xf numFmtId="0" fontId="9" fillId="3" borderId="0" xfId="0" applyFont="1" applyFill="1"/>
    <xf numFmtId="0" fontId="1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2" borderId="0" xfId="0" applyFont="1" applyFill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64" fontId="0" fillId="0" borderId="1" xfId="0" applyNumberFormat="1" applyBorder="1"/>
    <xf numFmtId="17" fontId="15" fillId="0" borderId="1" xfId="0" applyNumberFormat="1" applyFont="1" applyBorder="1" applyAlignment="1" applyProtection="1">
      <alignment horizontal="left"/>
      <protection locked="0"/>
    </xf>
    <xf numFmtId="0" fontId="16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1" xfId="0" applyBorder="1" applyProtection="1">
      <protection locked="0"/>
    </xf>
    <xf numFmtId="0" fontId="15" fillId="0" borderId="1" xfId="0" applyFont="1" applyBorder="1" applyProtection="1">
      <protection locked="0"/>
    </xf>
    <xf numFmtId="1" fontId="15" fillId="0" borderId="1" xfId="0" applyNumberFormat="1" applyFont="1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64" fontId="0" fillId="9" borderId="1" xfId="0" applyNumberFormat="1" applyFill="1" applyBorder="1"/>
    <xf numFmtId="164" fontId="15" fillId="9" borderId="1" xfId="0" applyNumberFormat="1" applyFont="1" applyFill="1" applyBorder="1"/>
    <xf numFmtId="10" fontId="15" fillId="9" borderId="1" xfId="0" applyNumberFormat="1" applyFont="1" applyFill="1" applyBorder="1"/>
    <xf numFmtId="10" fontId="0" fillId="0" borderId="0" xfId="0" applyNumberFormat="1"/>
    <xf numFmtId="10" fontId="14" fillId="8" borderId="1" xfId="0" applyNumberFormat="1" applyFont="1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0" fontId="16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textRotation="90" wrapText="1"/>
    </xf>
    <xf numFmtId="2" fontId="0" fillId="9" borderId="1" xfId="0" applyNumberFormat="1" applyFill="1" applyBorder="1"/>
    <xf numFmtId="10" fontId="0" fillId="9" borderId="1" xfId="0" applyNumberFormat="1" applyFill="1" applyBorder="1"/>
    <xf numFmtId="10" fontId="15" fillId="9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10" borderId="10" xfId="0" applyFont="1" applyFill="1" applyBorder="1"/>
    <xf numFmtId="0" fontId="19" fillId="10" borderId="11" xfId="0" applyFont="1" applyFill="1" applyBorder="1"/>
    <xf numFmtId="0" fontId="21" fillId="10" borderId="11" xfId="0" applyFont="1" applyFill="1" applyBorder="1"/>
    <xf numFmtId="0" fontId="21" fillId="10" borderId="12" xfId="0" applyFont="1" applyFill="1" applyBorder="1"/>
    <xf numFmtId="0" fontId="21" fillId="0" borderId="0" xfId="0" applyFont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164" fontId="0" fillId="0" borderId="0" xfId="0" applyNumberFormat="1"/>
    <xf numFmtId="2" fontId="1" fillId="3" borderId="0" xfId="0" applyNumberFormat="1" applyFont="1" applyFill="1"/>
    <xf numFmtId="0" fontId="0" fillId="0" borderId="0" xfId="0" applyAlignment="1">
      <alignment horizontal="center"/>
    </xf>
    <xf numFmtId="2" fontId="0" fillId="0" borderId="0" xfId="0" applyNumberFormat="1"/>
    <xf numFmtId="2" fontId="0" fillId="3" borderId="0" xfId="0" applyNumberFormat="1" applyFill="1"/>
    <xf numFmtId="2" fontId="1" fillId="0" borderId="0" xfId="0" applyNumberFormat="1" applyFont="1"/>
    <xf numFmtId="0" fontId="0" fillId="4" borderId="0" xfId="0" applyFill="1"/>
    <xf numFmtId="164" fontId="0" fillId="4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6" fillId="4" borderId="0" xfId="0" applyNumberFormat="1" applyFont="1" applyFill="1" applyAlignment="1">
      <alignment horizontal="center" vertical="center"/>
    </xf>
    <xf numFmtId="14" fontId="9" fillId="4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vertical="center"/>
    </xf>
    <xf numFmtId="10" fontId="18" fillId="9" borderId="0" xfId="0" applyNumberFormat="1" applyFont="1" applyFill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12" borderId="7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2"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503766</xdr:colOff>
      <xdr:row>11</xdr:row>
      <xdr:rowOff>39292</xdr:rowOff>
    </xdr:from>
    <xdr:to>
      <xdr:col>12</xdr:col>
      <xdr:colOff>552449</xdr:colOff>
      <xdr:row>29</xdr:row>
      <xdr:rowOff>57151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4991" y="2210992"/>
          <a:ext cx="6144683" cy="345638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238125</xdr:colOff>
      <xdr:row>48</xdr:row>
      <xdr:rowOff>180975</xdr:rowOff>
    </xdr:from>
    <xdr:to>
      <xdr:col>13</xdr:col>
      <xdr:colOff>238125</xdr:colOff>
      <xdr:row>66</xdr:row>
      <xdr:rowOff>161925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48400" y="5715000"/>
          <a:ext cx="6096000" cy="342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28</xdr:row>
      <xdr:rowOff>20796</xdr:rowOff>
    </xdr:from>
    <xdr:to>
      <xdr:col>5</xdr:col>
      <xdr:colOff>585829</xdr:colOff>
      <xdr:row>30</xdr:row>
      <xdr:rowOff>91936</xdr:rowOff>
    </xdr:to>
    <xdr:sp macro="" textlink="">
      <xdr:nvSpPr>
        <xdr:cNvPr id="2" name="ZoneTexte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238750" y="4869021"/>
          <a:ext cx="1328779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2400" b="1">
              <a:solidFill>
                <a:srgbClr val="FF0000"/>
              </a:solidFill>
              <a:highlight>
                <a:srgbClr val="FFFF00"/>
              </a:highlight>
            </a:rPr>
            <a:t>TMP</a:t>
          </a:r>
          <a:r>
            <a:rPr lang="fr-FR" sz="2400"/>
            <a:t> =</a:t>
          </a:r>
        </a:p>
      </xdr:txBody>
    </xdr:sp>
    <xdr:clientData/>
  </xdr:twoCellAnchor>
  <xdr:twoCellAnchor>
    <xdr:from>
      <xdr:col>5</xdr:col>
      <xdr:colOff>408030</xdr:colOff>
      <xdr:row>27</xdr:row>
      <xdr:rowOff>28575</xdr:rowOff>
    </xdr:from>
    <xdr:to>
      <xdr:col>15</xdr:col>
      <xdr:colOff>336550</xdr:colOff>
      <xdr:row>29</xdr:row>
      <xdr:rowOff>99715</xdr:rowOff>
    </xdr:to>
    <xdr:sp macro="" textlink="">
      <xdr:nvSpPr>
        <xdr:cNvPr id="3" name="ZoneTexte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389730" y="4686300"/>
          <a:ext cx="754852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2400"/>
            <a:t>Tps de déroulement des interventions préventives </a:t>
          </a:r>
        </a:p>
      </xdr:txBody>
    </xdr:sp>
    <xdr:clientData/>
  </xdr:twoCellAnchor>
  <xdr:twoCellAnchor>
    <xdr:from>
      <xdr:col>5</xdr:col>
      <xdr:colOff>585829</xdr:colOff>
      <xdr:row>29</xdr:row>
      <xdr:rowOff>68937</xdr:rowOff>
    </xdr:from>
    <xdr:to>
      <xdr:col>14</xdr:col>
      <xdr:colOff>628650</xdr:colOff>
      <xdr:row>29</xdr:row>
      <xdr:rowOff>73204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/>
        </xdr:cNvCxnSpPr>
      </xdr:nvCxnSpPr>
      <xdr:spPr>
        <a:xfrm>
          <a:off x="6567529" y="5117187"/>
          <a:ext cx="6900821" cy="426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495034</xdr:colOff>
      <xdr:row>30</xdr:row>
      <xdr:rowOff>47804</xdr:rowOff>
    </xdr:from>
    <xdr:to>
      <xdr:col>15</xdr:col>
      <xdr:colOff>298450</xdr:colOff>
      <xdr:row>32</xdr:row>
      <xdr:rowOff>66914</xdr:rowOff>
    </xdr:to>
    <xdr:sp macro="" textlink="">
      <xdr:nvSpPr>
        <xdr:cNvPr id="5" name="ZoneTexte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476734" y="5286554"/>
          <a:ext cx="7423416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/>
            <a:t>Tps de déroulement des interventions Correctives + </a:t>
          </a:r>
          <a:r>
            <a:rPr lang="fr-FR" sz="2000"/>
            <a:t>Préventives</a:t>
          </a:r>
          <a:r>
            <a:rPr lang="fr-FR"/>
            <a:t> </a:t>
          </a:r>
        </a:p>
      </xdr:txBody>
    </xdr:sp>
    <xdr:clientData/>
  </xdr:twoCellAnchor>
  <xdr:twoCellAnchor editAs="oneCell">
    <xdr:from>
      <xdr:col>4</xdr:col>
      <xdr:colOff>596474</xdr:colOff>
      <xdr:row>47</xdr:row>
      <xdr:rowOff>94926</xdr:rowOff>
    </xdr:from>
    <xdr:to>
      <xdr:col>11</xdr:col>
      <xdr:colOff>133350</xdr:colOff>
      <xdr:row>50</xdr:row>
      <xdr:rowOff>79891</xdr:rowOff>
    </xdr:to>
    <xdr:pic>
      <xdr:nvPicPr>
        <xdr:cNvPr id="6" name="Object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6174" y="8581701"/>
          <a:ext cx="4870876" cy="556465"/>
        </a:xfrm>
        <a:prstGeom prst="rect">
          <a:avLst/>
        </a:prstGeom>
        <a:solidFill>
          <a:srgbClr val="FFCC00"/>
        </a:solidFill>
        <a:ln w="15875">
          <a:solidFill>
            <a:schemeClr val="tx1"/>
          </a:solidFill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34</xdr:row>
      <xdr:rowOff>105713</xdr:rowOff>
    </xdr:from>
    <xdr:to>
      <xdr:col>11</xdr:col>
      <xdr:colOff>151897</xdr:colOff>
      <xdr:row>44</xdr:row>
      <xdr:rowOff>2471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6106463"/>
          <a:ext cx="4876297" cy="180851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406845</xdr:colOff>
      <xdr:row>13</xdr:row>
      <xdr:rowOff>0</xdr:rowOff>
    </xdr:from>
    <xdr:to>
      <xdr:col>17</xdr:col>
      <xdr:colOff>11330</xdr:colOff>
      <xdr:row>15</xdr:row>
      <xdr:rowOff>149658</xdr:rowOff>
    </xdr:to>
    <xdr:sp macro="" textlink="">
      <xdr:nvSpPr>
        <xdr:cNvPr id="2" name="ZoneTexte 1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474395" y="2562225"/>
          <a:ext cx="8748485" cy="5306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2800"/>
            <a:t>Nombre des dysfonctionnements traités et non répétés</a:t>
          </a:r>
        </a:p>
      </xdr:txBody>
    </xdr:sp>
    <xdr:clientData/>
  </xdr:twoCellAnchor>
  <xdr:twoCellAnchor>
    <xdr:from>
      <xdr:col>3</xdr:col>
      <xdr:colOff>0</xdr:colOff>
      <xdr:row>13</xdr:row>
      <xdr:rowOff>133239</xdr:rowOff>
    </xdr:from>
    <xdr:to>
      <xdr:col>5</xdr:col>
      <xdr:colOff>377483</xdr:colOff>
      <xdr:row>17</xdr:row>
      <xdr:rowOff>17570</xdr:rowOff>
    </xdr:to>
    <xdr:sp macro="" textlink="">
      <xdr:nvSpPr>
        <xdr:cNvPr id="3" name="ZoneTexte 1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543550" y="2695464"/>
          <a:ext cx="1901483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3600" b="1">
              <a:solidFill>
                <a:srgbClr val="FF0000"/>
              </a:solidFill>
              <a:highlight>
                <a:srgbClr val="FFFF00"/>
              </a:highlight>
            </a:rPr>
            <a:t>TEMP=</a:t>
          </a:r>
          <a:endParaRPr lang="fr-FR" sz="3600"/>
        </a:p>
      </xdr:txBody>
    </xdr:sp>
    <xdr:clientData/>
  </xdr:twoCellAnchor>
  <xdr:twoCellAnchor>
    <xdr:from>
      <xdr:col>5</xdr:col>
      <xdr:colOff>406847</xdr:colOff>
      <xdr:row>15</xdr:row>
      <xdr:rowOff>113506</xdr:rowOff>
    </xdr:from>
    <xdr:to>
      <xdr:col>16</xdr:col>
      <xdr:colOff>707584</xdr:colOff>
      <xdr:row>15</xdr:row>
      <xdr:rowOff>124105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rot="10800000">
          <a:off x="7474397" y="3056731"/>
          <a:ext cx="8682737" cy="10599"/>
        </a:xfrm>
        <a:prstGeom prst="line">
          <a:avLst/>
        </a:prstGeom>
        <a:ln/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174838</xdr:colOff>
      <xdr:row>15</xdr:row>
      <xdr:rowOff>141033</xdr:rowOff>
    </xdr:from>
    <xdr:to>
      <xdr:col>16</xdr:col>
      <xdr:colOff>99211</xdr:colOff>
      <xdr:row>18</xdr:row>
      <xdr:rowOff>92753</xdr:rowOff>
    </xdr:to>
    <xdr:sp macro="" textlink="">
      <xdr:nvSpPr>
        <xdr:cNvPr id="5" name="ZoneTexte 1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8004388" y="3084258"/>
          <a:ext cx="7544373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2800"/>
            <a:t>Nombre total des dysfonctionnements traités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</xdr:colOff>
      <xdr:row>37</xdr:row>
      <xdr:rowOff>123825</xdr:rowOff>
    </xdr:from>
    <xdr:to>
      <xdr:col>19</xdr:col>
      <xdr:colOff>200024</xdr:colOff>
      <xdr:row>42</xdr:row>
      <xdr:rowOff>19047</xdr:rowOff>
    </xdr:to>
    <xdr:sp macro="" textlink="">
      <xdr:nvSpPr>
        <xdr:cNvPr id="2" name="Espace réservé du contenu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Grp="1"/>
        </xdr:cNvSpPr>
      </xdr:nvSpPr>
      <xdr:spPr>
        <a:xfrm>
          <a:off x="5819774" y="3914775"/>
          <a:ext cx="10029825" cy="847722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lvl1pPr marL="228600" indent="-228600" algn="l" defTabSz="914400" rtl="0" eaLnBrk="1" latinLnBrk="0" hangingPunct="1">
            <a:lnSpc>
              <a:spcPct val="120000"/>
            </a:lnSpc>
            <a:spcBef>
              <a:spcPts val="10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12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120000"/>
            </a:lnSpc>
            <a:spcBef>
              <a:spcPts val="500"/>
            </a:spcBef>
            <a:buFont typeface="Arial" panose="020B0604020202020204" pitchFamily="34" charset="0"/>
            <a:buChar char="•"/>
            <a:defRPr sz="16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120000"/>
            </a:lnSpc>
            <a:spcBef>
              <a:spcPts val="500"/>
            </a:spcBef>
            <a:buFont typeface="Arial" panose="020B0604020202020204" pitchFamily="34" charset="0"/>
            <a:buChar char="•"/>
            <a:defRPr sz="14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12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12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12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12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12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8000"/>
                  </a:srgbClr>
                </a:outerShdw>
              </a:effectLst>
              <a:latin typeface="+mn-lt"/>
              <a:ea typeface="+mn-ea"/>
              <a:cs typeface="+mn-cs"/>
            </a:defRPr>
          </a:lvl9pPr>
        </a:lstStyle>
        <a:p>
          <a:r>
            <a:rPr lang="fr-FR" sz="2400" b="1" u="sng">
              <a:solidFill>
                <a:srgbClr val="D9F147"/>
              </a:solidFill>
            </a:rPr>
            <a:t>Le Stock Moyen SM</a:t>
          </a:r>
          <a:endParaRPr lang="fr-FR" sz="2400">
            <a:solidFill>
              <a:srgbClr val="D9F147"/>
            </a:solidFill>
          </a:endParaRPr>
        </a:p>
        <a:p>
          <a:r>
            <a:rPr lang="fr-FR" sz="2400" b="1">
              <a:solidFill>
                <a:srgbClr val="FF0000"/>
              </a:solidFill>
            </a:rPr>
            <a:t>Stock moyen</a:t>
          </a:r>
          <a:r>
            <a:rPr lang="fr-FR" sz="2400"/>
            <a:t> = (stock initial + stock final) / 2</a:t>
          </a:r>
        </a:p>
        <a:p>
          <a:endParaRPr lang="fr-FR"/>
        </a:p>
      </xdr:txBody>
    </xdr:sp>
    <xdr:clientData/>
  </xdr:twoCellAnchor>
  <xdr:twoCellAnchor>
    <xdr:from>
      <xdr:col>6</xdr:col>
      <xdr:colOff>9525</xdr:colOff>
      <xdr:row>46</xdr:row>
      <xdr:rowOff>66675</xdr:rowOff>
    </xdr:from>
    <xdr:to>
      <xdr:col>17</xdr:col>
      <xdr:colOff>307975</xdr:colOff>
      <xdr:row>50</xdr:row>
      <xdr:rowOff>38097</xdr:rowOff>
    </xdr:to>
    <xdr:sp macro="" textlink="">
      <xdr:nvSpPr>
        <xdr:cNvPr id="3" name="Espace réservé du contenu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/>
        </xdr:cNvSpPr>
      </xdr:nvSpPr>
      <xdr:spPr>
        <a:xfrm>
          <a:off x="5867400" y="9753600"/>
          <a:ext cx="8680450" cy="733422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2400" b="1" u="sng">
              <a:solidFill>
                <a:srgbClr val="D9F147"/>
              </a:solidFill>
            </a:rPr>
            <a:t>Le Taux de Rotation TR</a:t>
          </a:r>
          <a:endParaRPr lang="fr-FR" sz="2400">
            <a:solidFill>
              <a:srgbClr val="D9F147"/>
            </a:solidFill>
          </a:endParaRPr>
        </a:p>
        <a:p>
          <a:r>
            <a:rPr lang="fr-FR" sz="2400" b="1">
              <a:solidFill>
                <a:srgbClr val="FF0000"/>
              </a:solidFill>
            </a:rPr>
            <a:t>Taux de rotation</a:t>
          </a:r>
          <a:r>
            <a:rPr lang="fr-FR" sz="2400">
              <a:solidFill>
                <a:srgbClr val="FF0000"/>
              </a:solidFill>
            </a:rPr>
            <a:t> </a:t>
          </a:r>
          <a:r>
            <a:rPr lang="fr-FR" sz="2400"/>
            <a:t>=total des valeurs de sorties /stock moyen</a:t>
          </a:r>
          <a:r>
            <a:rPr lang="fr-FR" sz="3200"/>
            <a:t> </a:t>
          </a:r>
        </a:p>
      </xdr:txBody>
    </xdr:sp>
    <xdr:clientData/>
  </xdr:twoCellAnchor>
  <xdr:twoCellAnchor>
    <xdr:from>
      <xdr:col>6</xdr:col>
      <xdr:colOff>38099</xdr:colOff>
      <xdr:row>57</xdr:row>
      <xdr:rowOff>28575</xdr:rowOff>
    </xdr:from>
    <xdr:to>
      <xdr:col>18</xdr:col>
      <xdr:colOff>625474</xdr:colOff>
      <xdr:row>62</xdr:row>
      <xdr:rowOff>92072</xdr:rowOff>
    </xdr:to>
    <xdr:sp macro="" textlink="">
      <xdr:nvSpPr>
        <xdr:cNvPr id="6" name="Espace réservé du contenu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/>
        </xdr:cNvSpPr>
      </xdr:nvSpPr>
      <xdr:spPr>
        <a:xfrm>
          <a:off x="5895974" y="11858625"/>
          <a:ext cx="9731375" cy="1015997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800" b="1" u="sng">
              <a:solidFill>
                <a:srgbClr val="D9F147"/>
              </a:solidFill>
            </a:rPr>
            <a:t>La Durée Moyenne DM</a:t>
          </a:r>
        </a:p>
        <a:p>
          <a:endParaRPr lang="fr-FR" sz="1800">
            <a:solidFill>
              <a:srgbClr val="D9F147"/>
            </a:solidFill>
          </a:endParaRPr>
        </a:p>
        <a:p>
          <a:r>
            <a:rPr lang="fr-FR" sz="1800" b="1">
              <a:solidFill>
                <a:srgbClr val="FF0000"/>
              </a:solidFill>
            </a:rPr>
            <a:t>Durée moyen de stockage</a:t>
          </a:r>
          <a:r>
            <a:rPr lang="fr-FR" sz="1800">
              <a:solidFill>
                <a:srgbClr val="FF0000"/>
              </a:solidFill>
            </a:rPr>
            <a:t> </a:t>
          </a:r>
          <a:r>
            <a:rPr lang="fr-FR" sz="1800"/>
            <a:t>= Durée de la periode/Taux</a:t>
          </a:r>
          <a:r>
            <a:rPr lang="fr-FR" sz="1800" baseline="0"/>
            <a:t> de rotation</a:t>
          </a:r>
        </a:p>
        <a:p>
          <a:endParaRPr lang="fr-FR" sz="1800"/>
        </a:p>
        <a:p>
          <a:pPr marL="342900" marR="0" lvl="0" indent="-342900" algn="l" defTabSz="914400" rtl="0" eaLnBrk="1" fontAlgn="auto" latinLnBrk="0" hangingPunct="1">
            <a:lnSpc>
              <a:spcPct val="100000"/>
            </a:lnSpc>
            <a:spcBef>
              <a:spcPct val="20000"/>
            </a:spcBef>
            <a:spcAft>
              <a:spcPts val="0"/>
            </a:spcAft>
            <a:buClrTx/>
            <a:buSzTx/>
            <a:buFont typeface="Arial" pitchFamily="34" charset="0"/>
            <a:buChar char="•"/>
            <a:tabLst/>
            <a:defRPr/>
          </a:pPr>
          <a:endParaRPr kumimoji="0" lang="fr-FR" sz="2400" b="0" i="0" u="none" strike="noStrike" kern="1200" cap="none" spc="0" normalizeH="0" baseline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133349</xdr:colOff>
      <xdr:row>23</xdr:row>
      <xdr:rowOff>123825</xdr:rowOff>
    </xdr:from>
    <xdr:to>
      <xdr:col>20</xdr:col>
      <xdr:colOff>47624</xdr:colOff>
      <xdr:row>30</xdr:row>
      <xdr:rowOff>136522</xdr:rowOff>
    </xdr:to>
    <xdr:sp macro="" textlink="">
      <xdr:nvSpPr>
        <xdr:cNvPr id="8" name="Espace réservé du contenu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/>
        </xdr:cNvSpPr>
      </xdr:nvSpPr>
      <xdr:spPr>
        <a:xfrm>
          <a:off x="6753224" y="14201775"/>
          <a:ext cx="9820275" cy="1393822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2400" b="1" u="sng">
              <a:solidFill>
                <a:srgbClr val="D9F147"/>
              </a:solidFill>
            </a:rPr>
            <a:t>Coût global du Stock CGS</a:t>
          </a:r>
        </a:p>
        <a:p>
          <a:endParaRPr lang="fr-FR" sz="2400">
            <a:solidFill>
              <a:srgbClr val="D9F147"/>
            </a:solidFill>
          </a:endParaRPr>
        </a:p>
        <a:p>
          <a:r>
            <a:rPr lang="fr-FR" sz="2400" b="1">
              <a:solidFill>
                <a:srgbClr val="FF0000"/>
              </a:solidFill>
            </a:rPr>
            <a:t>CGS</a:t>
          </a:r>
          <a:r>
            <a:rPr lang="fr-FR" sz="2400">
              <a:solidFill>
                <a:srgbClr val="FF0000"/>
              </a:solidFill>
            </a:rPr>
            <a:t> = </a:t>
          </a:r>
          <a:r>
            <a:rPr lang="fr-FR" sz="2400"/>
            <a:t>La valeur en stock + le coût de possession de stock</a:t>
          </a:r>
        </a:p>
        <a:p>
          <a:pPr marL="342900" marR="0" lvl="0" indent="-342900" algn="l" defTabSz="914400" rtl="0" eaLnBrk="1" fontAlgn="auto" latinLnBrk="0" hangingPunct="1">
            <a:lnSpc>
              <a:spcPct val="100000"/>
            </a:lnSpc>
            <a:spcBef>
              <a:spcPct val="20000"/>
            </a:spcBef>
            <a:spcAft>
              <a:spcPts val="0"/>
            </a:spcAft>
            <a:buClrTx/>
            <a:buSzTx/>
            <a:buFont typeface="Arial" pitchFamily="34" charset="0"/>
            <a:buChar char="•"/>
            <a:tabLst/>
            <a:defRPr/>
          </a:pPr>
          <a:endParaRPr kumimoji="0" lang="fr-FR" sz="3200" b="0" i="0" u="none" strike="noStrike" kern="1200" cap="none" spc="0" normalizeH="0" baseline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400049</xdr:colOff>
      <xdr:row>2</xdr:row>
      <xdr:rowOff>257174</xdr:rowOff>
    </xdr:from>
    <xdr:to>
      <xdr:col>13</xdr:col>
      <xdr:colOff>704849</xdr:colOff>
      <xdr:row>24</xdr:row>
      <xdr:rowOff>19049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81574" y="638174"/>
          <a:ext cx="7162800" cy="4029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oussef%20DATA/youssef%20marah/MARGAFRIQUE/Marrah/MAINTENANCE/COURS%20HESTIM/MI/Moron/TRG_CO2_200_kg_S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undi"/>
      <sheetName val="mardi"/>
      <sheetName val="mercredi"/>
      <sheetName val="jeudi"/>
      <sheetName val="vendredi"/>
      <sheetName val="samedi"/>
      <sheetName val="dimanche"/>
      <sheetName val="Synthèse hebdo tableau"/>
      <sheetName val="Synthèse hebdo graphique"/>
    </sheetNames>
    <sheetDataSet>
      <sheetData sheetId="0">
        <row r="1">
          <cell r="R1" t="str">
            <v>SEM 28</v>
          </cell>
        </row>
        <row r="19">
          <cell r="C19" t="str">
            <v>Haute température d'eau de réfroidissement,</v>
          </cell>
          <cell r="D19" t="str">
            <v>Bouchage des clapets de la première étage du compresseur CO2</v>
          </cell>
          <cell r="E19" t="str">
            <v>Bouchage au niveau du circuit de MEA</v>
          </cell>
          <cell r="F19" t="str">
            <v>Bouchage du groupe frigorifique</v>
          </cell>
          <cell r="G19" t="str">
            <v>Pannes mécaniques</v>
          </cell>
          <cell r="H19" t="str">
            <v>Pannes éléctriques.</v>
          </cell>
          <cell r="I19" t="str">
            <v>Déclanchement de la chaudière</v>
          </cell>
          <cell r="J19" t="str">
            <v>fuite de CO2 au niveau du clapet antiretour de la  batterie vd 1002</v>
          </cell>
          <cell r="K19" t="str">
            <v>Déclanchement pompe du circuit fermé</v>
          </cell>
          <cell r="L19" t="str">
            <v>Haute pression des tanks</v>
          </cell>
          <cell r="M19" t="str">
            <v>Bouchage du liquéfacteur</v>
          </cell>
          <cell r="N19" t="str">
            <v>Montage de l'achangeur</v>
          </cell>
          <cell r="O19" t="str">
            <v>fuite d'eau au circuit fermé</v>
          </cell>
          <cell r="P19" t="str">
            <v>fuite co2 au niveau de la soupape de securité de la batterie vd4001</v>
          </cell>
          <cell r="Q19" t="str">
            <v>Bouchage de la ligne CO2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workbookViewId="0">
      <selection activeCell="A4" sqref="A4:E19"/>
    </sheetView>
  </sheetViews>
  <sheetFormatPr baseColWidth="10" defaultRowHeight="14.4" x14ac:dyDescent="0.3"/>
  <cols>
    <col min="1" max="1" width="38.5546875" customWidth="1"/>
    <col min="2" max="2" width="28.33203125" customWidth="1"/>
    <col min="4" max="4" width="10.33203125" bestFit="1" customWidth="1"/>
  </cols>
  <sheetData>
    <row r="4" spans="1:5" ht="21" x14ac:dyDescent="0.4">
      <c r="A4" s="74" t="s">
        <v>51</v>
      </c>
      <c r="B4" s="74"/>
      <c r="C4" s="74"/>
      <c r="D4" s="74"/>
      <c r="E4" s="74"/>
    </row>
    <row r="6" spans="1:5" ht="15.6" x14ac:dyDescent="0.3">
      <c r="A6" s="6" t="s">
        <v>7</v>
      </c>
    </row>
    <row r="8" spans="1:5" x14ac:dyDescent="0.3">
      <c r="A8" t="s">
        <v>57</v>
      </c>
      <c r="B8">
        <v>6</v>
      </c>
      <c r="C8" t="s">
        <v>0</v>
      </c>
    </row>
    <row r="9" spans="1:5" x14ac:dyDescent="0.3">
      <c r="A9" t="s">
        <v>52</v>
      </c>
      <c r="B9">
        <v>2</v>
      </c>
      <c r="C9" t="s">
        <v>1</v>
      </c>
    </row>
    <row r="10" spans="1:5" x14ac:dyDescent="0.3">
      <c r="A10" t="s">
        <v>53</v>
      </c>
      <c r="B10">
        <v>15</v>
      </c>
      <c r="C10" t="s">
        <v>0</v>
      </c>
    </row>
    <row r="11" spans="1:5" x14ac:dyDescent="0.3">
      <c r="A11" t="s">
        <v>54</v>
      </c>
      <c r="B11">
        <v>2</v>
      </c>
      <c r="C11" t="s">
        <v>2</v>
      </c>
    </row>
    <row r="12" spans="1:5" x14ac:dyDescent="0.3">
      <c r="A12" t="s">
        <v>55</v>
      </c>
      <c r="B12">
        <v>1</v>
      </c>
      <c r="C12" t="s">
        <v>2</v>
      </c>
    </row>
    <row r="14" spans="1:5" ht="21" x14ac:dyDescent="0.4">
      <c r="A14" s="75" t="s">
        <v>60</v>
      </c>
      <c r="B14" s="75"/>
      <c r="C14" s="75"/>
      <c r="D14" s="75"/>
      <c r="E14" s="75"/>
    </row>
    <row r="16" spans="1:5" x14ac:dyDescent="0.3">
      <c r="A16" t="s">
        <v>11</v>
      </c>
      <c r="B16" t="s">
        <v>3</v>
      </c>
      <c r="C16" s="1" t="s">
        <v>8</v>
      </c>
      <c r="D16" s="7" t="s">
        <v>56</v>
      </c>
      <c r="E16" s="1" t="s">
        <v>61</v>
      </c>
    </row>
    <row r="17" spans="1:5" x14ac:dyDescent="0.3">
      <c r="A17" t="s">
        <v>12</v>
      </c>
      <c r="B17" t="s">
        <v>4</v>
      </c>
      <c r="C17" s="1" t="s">
        <v>8</v>
      </c>
      <c r="D17" s="1" t="s">
        <v>58</v>
      </c>
      <c r="E17" s="1" t="s">
        <v>9</v>
      </c>
    </row>
    <row r="18" spans="1:5" x14ac:dyDescent="0.3">
      <c r="A18" t="s">
        <v>14</v>
      </c>
      <c r="B18" t="s">
        <v>5</v>
      </c>
      <c r="C18" s="1" t="s">
        <v>8</v>
      </c>
      <c r="D18" s="1" t="s">
        <v>59</v>
      </c>
      <c r="E18" s="1" t="s">
        <v>10</v>
      </c>
    </row>
    <row r="19" spans="1:5" x14ac:dyDescent="0.3">
      <c r="A19" t="s">
        <v>13</v>
      </c>
      <c r="B19" t="s">
        <v>6</v>
      </c>
      <c r="C19" s="1" t="s">
        <v>8</v>
      </c>
      <c r="D19" s="1" t="s">
        <v>16</v>
      </c>
      <c r="E19" s="1" t="s">
        <v>15</v>
      </c>
    </row>
  </sheetData>
  <mergeCells count="2">
    <mergeCell ref="A4:E4"/>
    <mergeCell ref="A14:E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15" sqref="E15"/>
    </sheetView>
  </sheetViews>
  <sheetFormatPr baseColWidth="10" defaultRowHeight="14.4" x14ac:dyDescent="0.3"/>
  <cols>
    <col min="1" max="1" width="24.33203125" bestFit="1" customWidth="1"/>
    <col min="2" max="2" width="14" bestFit="1" customWidth="1"/>
    <col min="3" max="3" width="15.44140625" bestFit="1" customWidth="1"/>
    <col min="4" max="4" width="18.5546875" customWidth="1"/>
    <col min="5" max="5" width="18.33203125" bestFit="1" customWidth="1"/>
    <col min="7" max="7" width="21.6640625" customWidth="1"/>
    <col min="8" max="8" width="20.33203125" customWidth="1"/>
    <col min="9" max="9" width="17.33203125" customWidth="1"/>
    <col min="10" max="10" width="23" bestFit="1" customWidth="1"/>
  </cols>
  <sheetData>
    <row r="1" spans="1:10" ht="15" thickTop="1" x14ac:dyDescent="0.3">
      <c r="A1" s="110"/>
      <c r="B1" s="112" t="s">
        <v>140</v>
      </c>
      <c r="C1" s="112"/>
      <c r="D1" s="112"/>
      <c r="E1" s="112"/>
      <c r="F1" s="112"/>
      <c r="G1" s="112"/>
      <c r="H1" s="112"/>
      <c r="I1" s="105" t="s">
        <v>141</v>
      </c>
      <c r="J1" s="105"/>
    </row>
    <row r="2" spans="1:10" ht="15" thickBot="1" x14ac:dyDescent="0.35">
      <c r="A2" s="111"/>
      <c r="B2" s="113"/>
      <c r="C2" s="113"/>
      <c r="D2" s="113"/>
      <c r="E2" s="113"/>
      <c r="F2" s="113"/>
      <c r="G2" s="113"/>
      <c r="H2" s="113"/>
      <c r="I2" s="106"/>
      <c r="J2" s="106"/>
    </row>
    <row r="3" spans="1:10" ht="15" thickTop="1" x14ac:dyDescent="0.3"/>
    <row r="4" spans="1:10" x14ac:dyDescent="0.3">
      <c r="A4" t="s">
        <v>142</v>
      </c>
    </row>
    <row r="5" spans="1:10" x14ac:dyDescent="0.3">
      <c r="A5" t="s">
        <v>189</v>
      </c>
    </row>
    <row r="6" spans="1:10" x14ac:dyDescent="0.3">
      <c r="A6" s="27" t="s">
        <v>143</v>
      </c>
    </row>
    <row r="8" spans="1:10" ht="37.5" customHeight="1" x14ac:dyDescent="0.3">
      <c r="A8" s="28" t="s">
        <v>144</v>
      </c>
      <c r="B8" s="28" t="s">
        <v>145</v>
      </c>
      <c r="C8" s="28" t="s">
        <v>146</v>
      </c>
      <c r="D8" s="28" t="s">
        <v>147</v>
      </c>
      <c r="E8" s="28" t="s">
        <v>148</v>
      </c>
      <c r="F8" s="28" t="s">
        <v>149</v>
      </c>
      <c r="G8" s="28" t="s">
        <v>150</v>
      </c>
      <c r="H8" s="28" t="s">
        <v>151</v>
      </c>
      <c r="I8" s="28" t="s">
        <v>152</v>
      </c>
      <c r="J8" s="28" t="s">
        <v>153</v>
      </c>
    </row>
    <row r="9" spans="1:10" ht="27.75" customHeight="1" x14ac:dyDescent="0.3">
      <c r="A9" s="29">
        <v>10</v>
      </c>
      <c r="B9" s="29">
        <v>1</v>
      </c>
      <c r="C9" s="29">
        <v>2</v>
      </c>
      <c r="D9" s="29">
        <v>2</v>
      </c>
      <c r="E9" s="29">
        <v>3</v>
      </c>
      <c r="F9" s="29">
        <v>1</v>
      </c>
      <c r="G9" s="29">
        <f>+A9-B9</f>
        <v>9</v>
      </c>
      <c r="H9" s="29">
        <f>G9-D9</f>
        <v>7</v>
      </c>
      <c r="I9" s="29">
        <f>D9-F9</f>
        <v>1</v>
      </c>
      <c r="J9" s="29">
        <v>0.5</v>
      </c>
    </row>
    <row r="12" spans="1:10" x14ac:dyDescent="0.3">
      <c r="A12" s="30" t="s">
        <v>154</v>
      </c>
      <c r="B12" s="31">
        <f>H9/G9*100</f>
        <v>77.777777777777786</v>
      </c>
      <c r="C12" s="30" t="s">
        <v>155</v>
      </c>
      <c r="D12" s="20">
        <f>+(J9/(J9+D9))*100</f>
        <v>20</v>
      </c>
      <c r="E12" s="30" t="s">
        <v>37</v>
      </c>
      <c r="F12" s="20">
        <f>+F9/E9</f>
        <v>0.33333333333333331</v>
      </c>
      <c r="G12" s="30" t="s">
        <v>73</v>
      </c>
      <c r="H12" s="20">
        <f>+(G9/(E9+1))</f>
        <v>2.25</v>
      </c>
      <c r="I12" s="30" t="s">
        <v>156</v>
      </c>
      <c r="J12" s="20">
        <f>I9/D9*100</f>
        <v>50</v>
      </c>
    </row>
    <row r="15" spans="1:10" x14ac:dyDescent="0.3">
      <c r="A15" s="27" t="s">
        <v>157</v>
      </c>
      <c r="G15" s="27" t="s">
        <v>158</v>
      </c>
    </row>
    <row r="17" spans="1:10" ht="15" customHeight="1" x14ac:dyDescent="0.3">
      <c r="A17" s="107" t="s">
        <v>208</v>
      </c>
      <c r="B17" s="107" t="s">
        <v>102</v>
      </c>
      <c r="C17" s="61"/>
      <c r="D17" s="61"/>
      <c r="G17" s="107" t="s">
        <v>206</v>
      </c>
      <c r="H17" s="107" t="s">
        <v>207</v>
      </c>
      <c r="I17" s="108" t="s">
        <v>205</v>
      </c>
      <c r="J17" s="109"/>
    </row>
    <row r="18" spans="1:10" x14ac:dyDescent="0.3">
      <c r="A18" s="107"/>
      <c r="B18" s="107"/>
      <c r="C18" s="61"/>
      <c r="D18" s="61"/>
      <c r="G18" s="107"/>
      <c r="H18" s="107"/>
      <c r="I18" s="108"/>
      <c r="J18" s="109"/>
    </row>
    <row r="19" spans="1:10" x14ac:dyDescent="0.3">
      <c r="A19" s="20"/>
      <c r="B19" s="20"/>
      <c r="C19" s="62"/>
      <c r="D19" s="62"/>
      <c r="G19" s="20"/>
      <c r="H19" s="20"/>
      <c r="I19" s="20"/>
      <c r="J19" s="62"/>
    </row>
  </sheetData>
  <mergeCells count="9">
    <mergeCell ref="I1:J2"/>
    <mergeCell ref="B17:B18"/>
    <mergeCell ref="I17:I18"/>
    <mergeCell ref="J17:J18"/>
    <mergeCell ref="A17:A18"/>
    <mergeCell ref="G17:G18"/>
    <mergeCell ref="H17:H18"/>
    <mergeCell ref="A1:A2"/>
    <mergeCell ref="B1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2" sqref="I2"/>
    </sheetView>
  </sheetViews>
  <sheetFormatPr baseColWidth="10" defaultRowHeight="14.4" x14ac:dyDescent="0.3"/>
  <cols>
    <col min="2" max="2" width="44.5546875" bestFit="1" customWidth="1"/>
    <col min="8" max="8" width="43.109375" bestFit="1" customWidth="1"/>
  </cols>
  <sheetData>
    <row r="1" spans="1:10" x14ac:dyDescent="0.3">
      <c r="B1" s="13">
        <v>44946</v>
      </c>
      <c r="C1" t="s">
        <v>238</v>
      </c>
      <c r="H1" s="13">
        <v>44946</v>
      </c>
      <c r="I1" t="s">
        <v>249</v>
      </c>
    </row>
    <row r="2" spans="1:10" x14ac:dyDescent="0.3">
      <c r="A2" t="s">
        <v>237</v>
      </c>
      <c r="G2" t="s">
        <v>237</v>
      </c>
    </row>
    <row r="3" spans="1:10" x14ac:dyDescent="0.3">
      <c r="B3" t="s">
        <v>239</v>
      </c>
      <c r="C3">
        <f>+(12.9*1008)/21000</f>
        <v>0.61920000000000008</v>
      </c>
      <c r="H3" t="s">
        <v>239</v>
      </c>
      <c r="I3">
        <f>+(12.9*1008)/21000</f>
        <v>0.61920000000000008</v>
      </c>
    </row>
    <row r="4" spans="1:10" x14ac:dyDescent="0.3">
      <c r="B4" t="s">
        <v>240</v>
      </c>
      <c r="C4">
        <f>8*60</f>
        <v>480</v>
      </c>
      <c r="D4">
        <f>180+57</f>
        <v>237</v>
      </c>
      <c r="H4" t="s">
        <v>240</v>
      </c>
      <c r="I4">
        <f>8*60</f>
        <v>480</v>
      </c>
      <c r="J4">
        <f>180+57</f>
        <v>237</v>
      </c>
    </row>
    <row r="5" spans="1:10" x14ac:dyDescent="0.3">
      <c r="B5" t="s">
        <v>241</v>
      </c>
      <c r="C5">
        <f>(12.9*C4*1008)/21000</f>
        <v>297.21600000000001</v>
      </c>
      <c r="D5">
        <f>+D4*C5/C4</f>
        <v>146.75039999999998</v>
      </c>
      <c r="H5" t="s">
        <v>241</v>
      </c>
      <c r="I5">
        <f>(12.9*I4*1008)/21000</f>
        <v>297.21600000000001</v>
      </c>
      <c r="J5">
        <f>+J4*I5/I4</f>
        <v>146.75039999999998</v>
      </c>
    </row>
    <row r="6" spans="1:10" x14ac:dyDescent="0.3">
      <c r="B6" t="s">
        <v>243</v>
      </c>
      <c r="C6">
        <v>145.69999999999999</v>
      </c>
      <c r="D6">
        <f>+C6/C3</f>
        <v>235.30361757105939</v>
      </c>
      <c r="H6" t="s">
        <v>243</v>
      </c>
      <c r="I6">
        <v>283</v>
      </c>
      <c r="J6">
        <f>+I6/I3</f>
        <v>457.04134366925058</v>
      </c>
    </row>
    <row r="7" spans="1:10" x14ac:dyDescent="0.3">
      <c r="B7" t="s">
        <v>242</v>
      </c>
      <c r="C7">
        <f>180+34</f>
        <v>214</v>
      </c>
      <c r="H7" t="s">
        <v>242</v>
      </c>
      <c r="I7">
        <v>13</v>
      </c>
    </row>
    <row r="8" spans="1:10" x14ac:dyDescent="0.3">
      <c r="B8" t="s">
        <v>244</v>
      </c>
      <c r="C8">
        <v>27</v>
      </c>
      <c r="H8" t="s">
        <v>244</v>
      </c>
      <c r="I8">
        <v>1</v>
      </c>
    </row>
    <row r="9" spans="1:10" x14ac:dyDescent="0.3">
      <c r="B9" t="s">
        <v>235</v>
      </c>
      <c r="C9">
        <f>C4-C7</f>
        <v>266</v>
      </c>
      <c r="H9" t="s">
        <v>235</v>
      </c>
      <c r="I9">
        <f>I4-I7</f>
        <v>467</v>
      </c>
    </row>
    <row r="10" spans="1:10" x14ac:dyDescent="0.3">
      <c r="B10" t="s">
        <v>236</v>
      </c>
      <c r="C10">
        <f>C9-C8</f>
        <v>239</v>
      </c>
      <c r="H10" t="s">
        <v>236</v>
      </c>
      <c r="I10">
        <f>I9-I8</f>
        <v>466</v>
      </c>
    </row>
    <row r="11" spans="1:10" x14ac:dyDescent="0.3">
      <c r="B11" t="s">
        <v>245</v>
      </c>
      <c r="C11">
        <v>237</v>
      </c>
      <c r="H11" t="s">
        <v>245</v>
      </c>
      <c r="I11">
        <f>7*60+44</f>
        <v>464</v>
      </c>
    </row>
    <row r="16" spans="1:10" x14ac:dyDescent="0.3">
      <c r="B16" s="4" t="s">
        <v>246</v>
      </c>
      <c r="C16" s="68">
        <f>+D6/C4*100</f>
        <v>49.021586993970708</v>
      </c>
      <c r="H16" s="4" t="s">
        <v>246</v>
      </c>
      <c r="I16" s="68">
        <f>+I11/I4*100</f>
        <v>96.666666666666671</v>
      </c>
    </row>
    <row r="17" spans="2:9" x14ac:dyDescent="0.3">
      <c r="B17" s="4" t="s">
        <v>247</v>
      </c>
      <c r="C17" s="68">
        <f>+C11/C10*100</f>
        <v>99.163179916317986</v>
      </c>
      <c r="H17" s="4" t="s">
        <v>247</v>
      </c>
      <c r="I17" s="68">
        <f>+I11/I10*100</f>
        <v>99.570815450643778</v>
      </c>
    </row>
    <row r="18" spans="2:9" x14ac:dyDescent="0.3">
      <c r="C18" s="67"/>
      <c r="I18" s="67"/>
    </row>
    <row r="19" spans="2:9" x14ac:dyDescent="0.3">
      <c r="C19" s="67"/>
      <c r="I19" s="67"/>
    </row>
    <row r="20" spans="2:9" x14ac:dyDescent="0.3">
      <c r="B20" s="4" t="s">
        <v>248</v>
      </c>
      <c r="C20" s="68">
        <f>+D6/(C4-C7)*100</f>
        <v>88.46000660566142</v>
      </c>
      <c r="H20" s="4" t="s">
        <v>248</v>
      </c>
      <c r="I20" s="68">
        <f>+J6/(I4-I7)*100</f>
        <v>97.867525410974437</v>
      </c>
    </row>
    <row r="22" spans="2:9" x14ac:dyDescent="0.3">
      <c r="B22" s="70" t="s">
        <v>234</v>
      </c>
      <c r="C22" s="71">
        <f>C10/C9*100</f>
        <v>89.849624060150376</v>
      </c>
      <c r="H22" s="70" t="s">
        <v>234</v>
      </c>
      <c r="I22" s="71">
        <f>I10/I9*100</f>
        <v>99.78586723768737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70"/>
  <sheetViews>
    <sheetView tabSelected="1" topLeftCell="A57" zoomScale="110" zoomScaleNormal="110" workbookViewId="0">
      <selection activeCell="C22" sqref="C22"/>
    </sheetView>
  </sheetViews>
  <sheetFormatPr baseColWidth="10" defaultRowHeight="14.4" x14ac:dyDescent="0.3"/>
  <cols>
    <col min="1" max="1" width="47.6640625" customWidth="1"/>
    <col min="2" max="2" width="12.5546875" bestFit="1" customWidth="1"/>
    <col min="4" max="4" width="18.109375" customWidth="1"/>
  </cols>
  <sheetData>
    <row r="5" spans="1:13" ht="21" x14ac:dyDescent="0.4">
      <c r="A5" s="74" t="s">
        <v>17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7" spans="1:13" x14ac:dyDescent="0.3">
      <c r="A7" s="76" t="s">
        <v>18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9" spans="1:13" x14ac:dyDescent="0.3">
      <c r="A9" t="s">
        <v>19</v>
      </c>
      <c r="B9">
        <v>12</v>
      </c>
      <c r="C9" s="1" t="s">
        <v>24</v>
      </c>
    </row>
    <row r="10" spans="1:13" x14ac:dyDescent="0.3">
      <c r="A10" t="s">
        <v>40</v>
      </c>
      <c r="B10">
        <v>1500</v>
      </c>
      <c r="C10" s="1" t="s">
        <v>0</v>
      </c>
    </row>
    <row r="11" spans="1:13" x14ac:dyDescent="0.3">
      <c r="A11" t="s">
        <v>21</v>
      </c>
      <c r="B11">
        <v>2</v>
      </c>
      <c r="C11" s="1" t="s">
        <v>24</v>
      </c>
      <c r="D11" t="e">
        <f>TO-arr maint/TO</f>
        <v>#NAME?</v>
      </c>
    </row>
    <row r="12" spans="1:13" x14ac:dyDescent="0.3">
      <c r="A12" t="s">
        <v>22</v>
      </c>
      <c r="B12">
        <v>2</v>
      </c>
      <c r="C12" s="1" t="s">
        <v>24</v>
      </c>
    </row>
    <row r="13" spans="1:13" x14ac:dyDescent="0.3">
      <c r="A13" t="s">
        <v>20</v>
      </c>
      <c r="B13">
        <v>3</v>
      </c>
      <c r="C13" s="1" t="s">
        <v>24</v>
      </c>
    </row>
    <row r="14" spans="1:13" x14ac:dyDescent="0.3">
      <c r="A14" t="s">
        <v>23</v>
      </c>
      <c r="B14">
        <v>1.3</v>
      </c>
      <c r="C14" s="1" t="s">
        <v>24</v>
      </c>
    </row>
    <row r="15" spans="1:13" x14ac:dyDescent="0.3">
      <c r="A15" t="s">
        <v>41</v>
      </c>
      <c r="B15">
        <v>2500</v>
      </c>
      <c r="C15" s="1" t="s">
        <v>42</v>
      </c>
    </row>
    <row r="16" spans="1:13" x14ac:dyDescent="0.3">
      <c r="A16" t="s">
        <v>43</v>
      </c>
      <c r="B16">
        <v>300</v>
      </c>
      <c r="C16" s="66" t="s">
        <v>42</v>
      </c>
    </row>
    <row r="18" spans="1:4" ht="15.6" x14ac:dyDescent="0.3">
      <c r="A18" s="2" t="s">
        <v>25</v>
      </c>
      <c r="B18" s="3" t="s">
        <v>26</v>
      </c>
    </row>
    <row r="21" spans="1:4" x14ac:dyDescent="0.3">
      <c r="A21" t="s">
        <v>27</v>
      </c>
      <c r="B21">
        <f>+B9-B11</f>
        <v>10</v>
      </c>
    </row>
    <row r="22" spans="1:4" x14ac:dyDescent="0.3">
      <c r="A22" t="s">
        <v>28</v>
      </c>
      <c r="B22">
        <f>+B21-B12</f>
        <v>8</v>
      </c>
    </row>
    <row r="24" spans="1:4" x14ac:dyDescent="0.3">
      <c r="A24" s="4" t="s">
        <v>29</v>
      </c>
      <c r="B24" s="68">
        <f>B22/B21*100</f>
        <v>80</v>
      </c>
      <c r="D24" s="67"/>
    </row>
    <row r="31" spans="1:4" ht="18" x14ac:dyDescent="0.35">
      <c r="A31" s="79" t="s">
        <v>38</v>
      </c>
      <c r="B31" s="79"/>
      <c r="C31" s="79"/>
    </row>
    <row r="33" spans="1:14" x14ac:dyDescent="0.3">
      <c r="A33" s="80" t="s">
        <v>39</v>
      </c>
      <c r="B33" s="80"/>
      <c r="C33" s="80"/>
    </row>
    <row r="34" spans="1:14" x14ac:dyDescent="0.3">
      <c r="A34" t="s">
        <v>44</v>
      </c>
      <c r="B34">
        <f>+B15</f>
        <v>2500</v>
      </c>
    </row>
    <row r="35" spans="1:14" x14ac:dyDescent="0.3">
      <c r="A35" t="s">
        <v>45</v>
      </c>
      <c r="B35">
        <f>+B16*B12</f>
        <v>600</v>
      </c>
    </row>
    <row r="36" spans="1:14" x14ac:dyDescent="0.3">
      <c r="A36" t="s">
        <v>46</v>
      </c>
      <c r="B36">
        <v>0</v>
      </c>
    </row>
    <row r="38" spans="1:14" x14ac:dyDescent="0.3">
      <c r="A38" s="4" t="s">
        <v>47</v>
      </c>
      <c r="B38" s="4">
        <f>+SUM(B34:B36)</f>
        <v>3100</v>
      </c>
      <c r="C38" t="s">
        <v>42</v>
      </c>
    </row>
    <row r="40" spans="1:14" x14ac:dyDescent="0.3">
      <c r="A40" s="80" t="s">
        <v>77</v>
      </c>
      <c r="B40" s="80"/>
      <c r="C40" s="80"/>
    </row>
    <row r="41" spans="1:14" x14ac:dyDescent="0.3">
      <c r="A41" t="s">
        <v>48</v>
      </c>
      <c r="B41">
        <f>+B10</f>
        <v>1500</v>
      </c>
    </row>
    <row r="42" spans="1:14" x14ac:dyDescent="0.3">
      <c r="A42" t="s">
        <v>49</v>
      </c>
      <c r="B42">
        <f>+B12</f>
        <v>2</v>
      </c>
    </row>
    <row r="44" spans="1:14" x14ac:dyDescent="0.3">
      <c r="A44" s="4" t="s">
        <v>50</v>
      </c>
      <c r="B44" s="4">
        <f>+B41*B42</f>
        <v>3000</v>
      </c>
      <c r="C44" t="s">
        <v>0</v>
      </c>
      <c r="D44" t="s">
        <v>229</v>
      </c>
      <c r="E44">
        <f>B44*2.5</f>
        <v>7500</v>
      </c>
    </row>
    <row r="45" spans="1:14" x14ac:dyDescent="0.3">
      <c r="D45" t="s">
        <v>230</v>
      </c>
      <c r="E45">
        <f>+B44*5</f>
        <v>15000</v>
      </c>
    </row>
    <row r="46" spans="1:14" x14ac:dyDescent="0.3">
      <c r="A46" s="4" t="s">
        <v>62</v>
      </c>
      <c r="B46" s="4">
        <f>+B38+E45</f>
        <v>18100</v>
      </c>
      <c r="C46" t="s">
        <v>42</v>
      </c>
    </row>
    <row r="48" spans="1:14" x14ac:dyDescent="0.3">
      <c r="A48" s="77" t="s">
        <v>30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</row>
    <row r="52" spans="1:3" s="5" customFormat="1" x14ac:dyDescent="0.3"/>
    <row r="53" spans="1:3" ht="15.6" x14ac:dyDescent="0.3">
      <c r="A53" s="78" t="s">
        <v>33</v>
      </c>
      <c r="B53" s="78"/>
      <c r="C53" s="78"/>
    </row>
    <row r="56" spans="1:3" x14ac:dyDescent="0.3">
      <c r="A56" t="s">
        <v>31</v>
      </c>
    </row>
    <row r="57" spans="1:3" x14ac:dyDescent="0.3">
      <c r="A57" t="s">
        <v>32</v>
      </c>
    </row>
    <row r="59" spans="1:3" x14ac:dyDescent="0.3">
      <c r="A59" s="4" t="s">
        <v>231</v>
      </c>
      <c r="B59" s="4"/>
      <c r="C59">
        <f>100-B59</f>
        <v>100</v>
      </c>
    </row>
    <row r="63" spans="1:3" ht="15.6" x14ac:dyDescent="0.3">
      <c r="A63" s="78" t="s">
        <v>34</v>
      </c>
      <c r="B63" s="78"/>
      <c r="C63" s="78"/>
    </row>
    <row r="66" spans="1:3" x14ac:dyDescent="0.3">
      <c r="A66" t="s">
        <v>35</v>
      </c>
      <c r="B66">
        <f>+C57</f>
        <v>0</v>
      </c>
      <c r="C66" t="s">
        <v>24</v>
      </c>
    </row>
    <row r="67" spans="1:3" x14ac:dyDescent="0.3">
      <c r="A67" t="s">
        <v>36</v>
      </c>
      <c r="B67">
        <f>+B13</f>
        <v>3</v>
      </c>
    </row>
    <row r="70" spans="1:3" x14ac:dyDescent="0.3">
      <c r="A70" s="4" t="s">
        <v>37</v>
      </c>
      <c r="B70" s="68">
        <f>+B66/B67</f>
        <v>0</v>
      </c>
      <c r="C70" t="s">
        <v>24</v>
      </c>
    </row>
  </sheetData>
  <mergeCells count="8">
    <mergeCell ref="A5:M5"/>
    <mergeCell ref="A7:M7"/>
    <mergeCell ref="A48:N48"/>
    <mergeCell ref="A53:C53"/>
    <mergeCell ref="A63:C63"/>
    <mergeCell ref="A31:C31"/>
    <mergeCell ref="A33:C33"/>
    <mergeCell ref="A40:C4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71"/>
  <sheetViews>
    <sheetView topLeftCell="A26" zoomScale="110" zoomScaleNormal="110" workbookViewId="0">
      <selection activeCell="B42" sqref="B42"/>
    </sheetView>
  </sheetViews>
  <sheetFormatPr baseColWidth="10" defaultRowHeight="14.4" x14ac:dyDescent="0.3"/>
  <cols>
    <col min="1" max="1" width="54.6640625" bestFit="1" customWidth="1"/>
  </cols>
  <sheetData>
    <row r="3" spans="1:13" ht="21" x14ac:dyDescent="0.4">
      <c r="A3" s="74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5" spans="1:13" x14ac:dyDescent="0.3">
      <c r="A5" s="76" t="s">
        <v>68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7" spans="1:13" x14ac:dyDescent="0.3">
      <c r="A7" t="s">
        <v>19</v>
      </c>
      <c r="B7">
        <f>16*5</f>
        <v>80</v>
      </c>
      <c r="C7" s="1" t="s">
        <v>24</v>
      </c>
    </row>
    <row r="8" spans="1:13" x14ac:dyDescent="0.3">
      <c r="A8" t="s">
        <v>40</v>
      </c>
      <c r="B8">
        <v>1500</v>
      </c>
      <c r="C8" s="1" t="s">
        <v>0</v>
      </c>
    </row>
    <row r="9" spans="1:13" x14ac:dyDescent="0.3">
      <c r="A9" t="s">
        <v>254</v>
      </c>
      <c r="B9">
        <f>B8*55</f>
        <v>82500</v>
      </c>
      <c r="C9" s="72" t="s">
        <v>0</v>
      </c>
    </row>
    <row r="10" spans="1:13" x14ac:dyDescent="0.3">
      <c r="A10" t="s">
        <v>255</v>
      </c>
      <c r="B10">
        <v>350</v>
      </c>
      <c r="C10" s="72" t="s">
        <v>0</v>
      </c>
    </row>
    <row r="11" spans="1:13" x14ac:dyDescent="0.3">
      <c r="A11" t="s">
        <v>21</v>
      </c>
      <c r="B11">
        <v>5</v>
      </c>
      <c r="C11" s="1" t="s">
        <v>24</v>
      </c>
    </row>
    <row r="12" spans="1:13" x14ac:dyDescent="0.3">
      <c r="A12" t="s">
        <v>251</v>
      </c>
      <c r="B12">
        <v>11.5</v>
      </c>
      <c r="C12" s="1" t="s">
        <v>24</v>
      </c>
    </row>
    <row r="13" spans="1:13" x14ac:dyDescent="0.3">
      <c r="A13" t="s">
        <v>20</v>
      </c>
      <c r="B13">
        <v>6</v>
      </c>
      <c r="C13" s="1" t="s">
        <v>24</v>
      </c>
    </row>
    <row r="14" spans="1:13" x14ac:dyDescent="0.3">
      <c r="A14" t="s">
        <v>63</v>
      </c>
      <c r="B14">
        <v>9.1999999999999993</v>
      </c>
      <c r="C14" s="1" t="s">
        <v>24</v>
      </c>
    </row>
    <row r="15" spans="1:13" x14ac:dyDescent="0.3">
      <c r="A15" t="s">
        <v>253</v>
      </c>
      <c r="B15">
        <v>900</v>
      </c>
      <c r="C15" s="72" t="s">
        <v>42</v>
      </c>
    </row>
    <row r="16" spans="1:13" x14ac:dyDescent="0.3">
      <c r="A16" t="s">
        <v>252</v>
      </c>
      <c r="B16">
        <v>7320</v>
      </c>
      <c r="C16" s="1" t="s">
        <v>42</v>
      </c>
    </row>
    <row r="17" spans="1:3" x14ac:dyDescent="0.3">
      <c r="A17" t="s">
        <v>43</v>
      </c>
      <c r="B17">
        <v>500</v>
      </c>
      <c r="C17" s="1" t="s">
        <v>64</v>
      </c>
    </row>
    <row r="18" spans="1:3" x14ac:dyDescent="0.3">
      <c r="A18" t="s">
        <v>67</v>
      </c>
      <c r="B18">
        <v>5</v>
      </c>
      <c r="C18" s="1" t="s">
        <v>24</v>
      </c>
    </row>
    <row r="22" spans="1:3" ht="15.6" x14ac:dyDescent="0.3">
      <c r="A22" s="2" t="s">
        <v>65</v>
      </c>
      <c r="B22" s="8" t="s">
        <v>66</v>
      </c>
    </row>
    <row r="25" spans="1:3" x14ac:dyDescent="0.3">
      <c r="A25" s="4" t="s">
        <v>66</v>
      </c>
      <c r="B25" s="4">
        <f>B13</f>
        <v>6</v>
      </c>
    </row>
    <row r="29" spans="1:3" ht="15.6" x14ac:dyDescent="0.3">
      <c r="A29" s="2" t="s">
        <v>69</v>
      </c>
      <c r="B29" s="8" t="s">
        <v>70</v>
      </c>
    </row>
    <row r="31" spans="1:3" x14ac:dyDescent="0.3">
      <c r="A31" t="s">
        <v>260</v>
      </c>
      <c r="B31">
        <f>B12</f>
        <v>11.5</v>
      </c>
    </row>
    <row r="32" spans="1:3" x14ac:dyDescent="0.3">
      <c r="A32" t="s">
        <v>71</v>
      </c>
      <c r="B32">
        <f>B18</f>
        <v>5</v>
      </c>
    </row>
    <row r="34" spans="1:3" x14ac:dyDescent="0.3">
      <c r="A34" s="4" t="s">
        <v>70</v>
      </c>
      <c r="B34" s="68">
        <f>+B32/(B31+B32)*100</f>
        <v>30.303030303030305</v>
      </c>
      <c r="C34" t="s">
        <v>105</v>
      </c>
    </row>
    <row r="39" spans="1:3" ht="15.6" x14ac:dyDescent="0.3">
      <c r="A39" s="2" t="s">
        <v>72</v>
      </c>
      <c r="B39" s="8" t="s">
        <v>73</v>
      </c>
    </row>
    <row r="41" spans="1:3" x14ac:dyDescent="0.3">
      <c r="A41" t="s">
        <v>74</v>
      </c>
      <c r="B41">
        <f>B7-B11-B12-B18</f>
        <v>58.5</v>
      </c>
    </row>
    <row r="42" spans="1:3" x14ac:dyDescent="0.3">
      <c r="A42" t="s">
        <v>261</v>
      </c>
      <c r="B42" s="114">
        <v>6</v>
      </c>
    </row>
    <row r="45" spans="1:3" x14ac:dyDescent="0.3">
      <c r="A45" s="4" t="s">
        <v>73</v>
      </c>
      <c r="B45" s="68">
        <f>+B41/(B42+1)</f>
        <v>8.3571428571428577</v>
      </c>
    </row>
    <row r="56" spans="1:3" ht="18" x14ac:dyDescent="0.35">
      <c r="A56" s="79" t="s">
        <v>232</v>
      </c>
      <c r="B56" s="79"/>
      <c r="C56" s="79"/>
    </row>
    <row r="58" spans="1:3" x14ac:dyDescent="0.3">
      <c r="A58" s="80" t="s">
        <v>75</v>
      </c>
      <c r="B58" s="80"/>
      <c r="C58" s="80"/>
    </row>
    <row r="59" spans="1:3" x14ac:dyDescent="0.3">
      <c r="A59" t="s">
        <v>44</v>
      </c>
      <c r="B59">
        <f>+B16</f>
        <v>7320</v>
      </c>
    </row>
    <row r="60" spans="1:3" x14ac:dyDescent="0.3">
      <c r="A60" t="s">
        <v>45</v>
      </c>
      <c r="B60">
        <f>+B17*B18</f>
        <v>2500</v>
      </c>
    </row>
    <row r="61" spans="1:3" x14ac:dyDescent="0.3">
      <c r="A61" t="s">
        <v>46</v>
      </c>
    </row>
    <row r="63" spans="1:3" x14ac:dyDescent="0.3">
      <c r="A63" s="4" t="s">
        <v>250</v>
      </c>
      <c r="B63" s="4">
        <f>B61+B60+B59</f>
        <v>9820</v>
      </c>
    </row>
    <row r="65" spans="1:3" x14ac:dyDescent="0.3">
      <c r="A65" s="80" t="s">
        <v>76</v>
      </c>
      <c r="B65" s="80"/>
      <c r="C65" s="80"/>
    </row>
    <row r="66" spans="1:3" x14ac:dyDescent="0.3">
      <c r="A66" t="s">
        <v>48</v>
      </c>
    </row>
    <row r="67" spans="1:3" x14ac:dyDescent="0.3">
      <c r="A67" t="s">
        <v>49</v>
      </c>
    </row>
    <row r="69" spans="1:3" x14ac:dyDescent="0.3">
      <c r="A69" s="4" t="s">
        <v>79</v>
      </c>
      <c r="B69" s="4"/>
    </row>
    <row r="71" spans="1:3" x14ac:dyDescent="0.3">
      <c r="A71" s="4" t="s">
        <v>78</v>
      </c>
      <c r="B71" s="4">
        <f>+B69+B63</f>
        <v>9820</v>
      </c>
    </row>
  </sheetData>
  <mergeCells count="5">
    <mergeCell ref="A3:M3"/>
    <mergeCell ref="A5:M5"/>
    <mergeCell ref="A56:C56"/>
    <mergeCell ref="A58:C58"/>
    <mergeCell ref="A65:C6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5"/>
  <sheetViews>
    <sheetView workbookViewId="0">
      <selection activeCell="C13" sqref="C13"/>
    </sheetView>
  </sheetViews>
  <sheetFormatPr baseColWidth="10" defaultRowHeight="14.4" x14ac:dyDescent="0.3"/>
  <cols>
    <col min="1" max="1" width="58.6640625" bestFit="1" customWidth="1"/>
    <col min="2" max="2" width="13" customWidth="1"/>
  </cols>
  <sheetData>
    <row r="3" spans="1:13" ht="21" x14ac:dyDescent="0.4">
      <c r="A3" s="74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5" spans="1:13" x14ac:dyDescent="0.3">
      <c r="A5" s="76" t="s">
        <v>68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7" spans="1:13" x14ac:dyDescent="0.3">
      <c r="A7" t="s">
        <v>80</v>
      </c>
      <c r="B7">
        <f>16*5</f>
        <v>80</v>
      </c>
      <c r="C7" s="1" t="s">
        <v>84</v>
      </c>
    </row>
    <row r="8" spans="1:13" x14ac:dyDescent="0.3">
      <c r="A8" t="s">
        <v>81</v>
      </c>
      <c r="B8">
        <v>20</v>
      </c>
      <c r="C8" s="1" t="s">
        <v>82</v>
      </c>
    </row>
    <row r="9" spans="1:13" x14ac:dyDescent="0.3">
      <c r="A9" t="s">
        <v>83</v>
      </c>
      <c r="B9">
        <v>18</v>
      </c>
      <c r="C9" s="1" t="s">
        <v>82</v>
      </c>
    </row>
    <row r="12" spans="1:13" ht="15.6" x14ac:dyDescent="0.3">
      <c r="A12" s="2" t="s">
        <v>85</v>
      </c>
      <c r="B12" s="9" t="s">
        <v>86</v>
      </c>
      <c r="C12">
        <f>18/20*100</f>
        <v>90</v>
      </c>
    </row>
    <row r="15" spans="1:13" x14ac:dyDescent="0.3">
      <c r="A15" s="10" t="s">
        <v>86</v>
      </c>
      <c r="B15" s="4"/>
    </row>
  </sheetData>
  <mergeCells count="2">
    <mergeCell ref="A3:M3"/>
    <mergeCell ref="A5:M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1"/>
  <sheetViews>
    <sheetView topLeftCell="A41" workbookViewId="0">
      <selection activeCell="J57" sqref="J57"/>
    </sheetView>
  </sheetViews>
  <sheetFormatPr baseColWidth="10" defaultRowHeight="14.4" x14ac:dyDescent="0.3"/>
  <cols>
    <col min="1" max="1" width="26.5546875" bestFit="1" customWidth="1"/>
    <col min="2" max="2" width="15.5546875" bestFit="1" customWidth="1"/>
  </cols>
  <sheetData>
    <row r="2" spans="1:11" ht="21" x14ac:dyDescent="0.4">
      <c r="A2" s="74" t="s">
        <v>94</v>
      </c>
      <c r="B2" s="74"/>
      <c r="C2" s="74"/>
      <c r="D2" s="74"/>
      <c r="E2" s="74"/>
      <c r="F2" s="74"/>
      <c r="G2" s="74"/>
      <c r="H2" s="74"/>
      <c r="I2" s="74"/>
    </row>
    <row r="3" spans="1:11" s="5" customFormat="1" ht="21" x14ac:dyDescent="0.4">
      <c r="A3" s="11"/>
      <c r="B3" s="11"/>
      <c r="C3" s="11"/>
      <c r="D3" s="11"/>
      <c r="E3" s="11"/>
      <c r="F3" s="11"/>
    </row>
    <row r="4" spans="1:11" s="5" customFormat="1" ht="17.25" customHeight="1" x14ac:dyDescent="0.3">
      <c r="A4" s="82" t="s">
        <v>88</v>
      </c>
      <c r="B4" s="82" t="s">
        <v>90</v>
      </c>
      <c r="C4" s="82" t="s">
        <v>89</v>
      </c>
      <c r="D4" s="82"/>
      <c r="E4" s="82" t="s">
        <v>93</v>
      </c>
      <c r="F4" s="82"/>
    </row>
    <row r="5" spans="1:11" s="5" customFormat="1" ht="17.25" customHeight="1" x14ac:dyDescent="0.3">
      <c r="A5" s="82"/>
      <c r="B5" s="82"/>
      <c r="C5" s="12" t="s">
        <v>91</v>
      </c>
      <c r="D5" s="12" t="s">
        <v>92</v>
      </c>
      <c r="E5" s="82"/>
      <c r="F5" s="82"/>
    </row>
    <row r="6" spans="1:11" s="5" customFormat="1" ht="17.25" customHeight="1" x14ac:dyDescent="0.3">
      <c r="A6" s="17"/>
      <c r="B6" s="17">
        <v>5</v>
      </c>
      <c r="C6" s="17">
        <v>0</v>
      </c>
      <c r="D6" s="17">
        <v>0</v>
      </c>
      <c r="E6" s="17">
        <f>+B6+C6-D6</f>
        <v>5</v>
      </c>
      <c r="F6" s="12"/>
    </row>
    <row r="7" spans="1:11" s="5" customFormat="1" ht="17.25" customHeight="1" x14ac:dyDescent="0.4">
      <c r="A7" s="14">
        <v>44805</v>
      </c>
      <c r="B7" s="18">
        <f>E6</f>
        <v>5</v>
      </c>
      <c r="C7" s="18">
        <v>0</v>
      </c>
      <c r="D7" s="18">
        <v>2</v>
      </c>
      <c r="E7" s="17">
        <f t="shared" ref="E7:E13" si="0">+B7+C7-D7</f>
        <v>3</v>
      </c>
      <c r="F7" s="11"/>
    </row>
    <row r="8" spans="1:11" ht="17.25" customHeight="1" x14ac:dyDescent="0.3">
      <c r="A8" s="15">
        <v>44809</v>
      </c>
      <c r="B8" s="16">
        <f>+E7</f>
        <v>3</v>
      </c>
      <c r="C8" s="16">
        <v>0</v>
      </c>
      <c r="D8" s="16">
        <v>1</v>
      </c>
      <c r="E8" s="17">
        <f t="shared" si="0"/>
        <v>2</v>
      </c>
    </row>
    <row r="9" spans="1:11" ht="17.25" customHeight="1" x14ac:dyDescent="0.3">
      <c r="A9" s="15">
        <v>44816</v>
      </c>
      <c r="B9" s="16">
        <f t="shared" ref="B9:B13" si="1">+E8</f>
        <v>2</v>
      </c>
      <c r="C9" s="16">
        <v>0</v>
      </c>
      <c r="D9" s="16">
        <v>1</v>
      </c>
      <c r="E9" s="17">
        <f t="shared" si="0"/>
        <v>1</v>
      </c>
    </row>
    <row r="10" spans="1:11" ht="17.25" customHeight="1" x14ac:dyDescent="0.3">
      <c r="A10" s="15">
        <v>44818</v>
      </c>
      <c r="B10" s="16">
        <f t="shared" si="1"/>
        <v>1</v>
      </c>
      <c r="C10" s="16">
        <v>5</v>
      </c>
      <c r="D10" s="16">
        <v>0</v>
      </c>
      <c r="E10" s="17">
        <f t="shared" si="0"/>
        <v>6</v>
      </c>
    </row>
    <row r="11" spans="1:11" ht="17.25" customHeight="1" x14ac:dyDescent="0.3">
      <c r="A11" s="15">
        <v>44824</v>
      </c>
      <c r="B11" s="16">
        <f t="shared" si="1"/>
        <v>6</v>
      </c>
      <c r="C11" s="16">
        <v>0</v>
      </c>
      <c r="D11" s="16">
        <v>1</v>
      </c>
      <c r="E11" s="17">
        <f t="shared" si="0"/>
        <v>5</v>
      </c>
    </row>
    <row r="12" spans="1:11" ht="17.25" customHeight="1" x14ac:dyDescent="0.3">
      <c r="A12" s="15">
        <v>29</v>
      </c>
      <c r="B12" s="16">
        <f t="shared" si="1"/>
        <v>5</v>
      </c>
      <c r="C12" s="16">
        <v>0</v>
      </c>
      <c r="D12" s="16">
        <v>2</v>
      </c>
      <c r="E12" s="17">
        <f t="shared" si="0"/>
        <v>3</v>
      </c>
    </row>
    <row r="13" spans="1:11" ht="17.25" customHeight="1" x14ac:dyDescent="0.3">
      <c r="A13" s="15">
        <v>44834</v>
      </c>
      <c r="B13" s="16">
        <f t="shared" si="1"/>
        <v>3</v>
      </c>
      <c r="C13" s="16">
        <v>3</v>
      </c>
      <c r="D13" s="16">
        <v>0</v>
      </c>
      <c r="E13" s="17">
        <f t="shared" si="0"/>
        <v>6</v>
      </c>
    </row>
    <row r="14" spans="1:11" ht="17.25" customHeight="1" x14ac:dyDescent="0.3">
      <c r="A14" s="13" t="s">
        <v>99</v>
      </c>
      <c r="C14">
        <f>+SUM(C6:C13)</f>
        <v>8</v>
      </c>
      <c r="D14">
        <f>+SUM(D6:D13)</f>
        <v>7</v>
      </c>
      <c r="E14" s="12"/>
    </row>
    <row r="15" spans="1:11" ht="31.5" customHeight="1" x14ac:dyDescent="0.3">
      <c r="A15" s="83" t="s">
        <v>119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</row>
    <row r="16" spans="1:11" ht="18" x14ac:dyDescent="0.35">
      <c r="A16" s="79" t="s">
        <v>101</v>
      </c>
      <c r="B16" s="79"/>
      <c r="C16" s="79"/>
      <c r="D16" s="79"/>
      <c r="E16" s="79"/>
      <c r="F16" s="79"/>
      <c r="G16" s="79"/>
    </row>
    <row r="18" spans="1:7" x14ac:dyDescent="0.3">
      <c r="A18" t="s">
        <v>102</v>
      </c>
      <c r="B18">
        <v>1</v>
      </c>
    </row>
    <row r="19" spans="1:7" x14ac:dyDescent="0.3">
      <c r="A19" t="s">
        <v>103</v>
      </c>
      <c r="B19">
        <v>5</v>
      </c>
      <c r="D19" s="10" t="s">
        <v>104</v>
      </c>
      <c r="E19" s="10">
        <f>+B18/B19*100</f>
        <v>20</v>
      </c>
      <c r="F19" t="s">
        <v>105</v>
      </c>
    </row>
    <row r="23" spans="1:7" ht="18" x14ac:dyDescent="0.35">
      <c r="A23" s="79" t="s">
        <v>109</v>
      </c>
      <c r="B23" s="79"/>
      <c r="C23" s="79"/>
      <c r="D23" s="79"/>
      <c r="E23" s="79"/>
      <c r="F23" s="79"/>
      <c r="G23" s="79"/>
    </row>
    <row r="26" spans="1:7" x14ac:dyDescent="0.3">
      <c r="A26" s="22" t="s">
        <v>110</v>
      </c>
      <c r="B26" s="21">
        <v>1200000</v>
      </c>
    </row>
    <row r="27" spans="1:7" x14ac:dyDescent="0.3">
      <c r="A27" s="19"/>
    </row>
    <row r="28" spans="1:7" x14ac:dyDescent="0.3">
      <c r="A28" s="22" t="s">
        <v>111</v>
      </c>
      <c r="B28" s="21">
        <f>+B34</f>
        <v>0</v>
      </c>
    </row>
    <row r="29" spans="1:7" x14ac:dyDescent="0.3">
      <c r="A29" t="s">
        <v>112</v>
      </c>
    </row>
    <row r="30" spans="1:7" ht="18" x14ac:dyDescent="0.35">
      <c r="A30" t="s">
        <v>113</v>
      </c>
      <c r="D30" s="23" t="s">
        <v>118</v>
      </c>
      <c r="E30" s="23">
        <f>+B26+B28</f>
        <v>1200000</v>
      </c>
    </row>
    <row r="31" spans="1:7" x14ac:dyDescent="0.3">
      <c r="A31" t="s">
        <v>114</v>
      </c>
    </row>
    <row r="32" spans="1:7" x14ac:dyDescent="0.3">
      <c r="A32" t="s">
        <v>117</v>
      </c>
    </row>
    <row r="33" spans="1:11" x14ac:dyDescent="0.3">
      <c r="A33" t="s">
        <v>116</v>
      </c>
    </row>
    <row r="34" spans="1:11" x14ac:dyDescent="0.3">
      <c r="A34" t="s">
        <v>115</v>
      </c>
      <c r="B34">
        <f>+SUM(B29:B33)</f>
        <v>0</v>
      </c>
    </row>
    <row r="35" spans="1:11" ht="15.75" customHeight="1" x14ac:dyDescent="0.3"/>
    <row r="36" spans="1:11" ht="29.25" customHeight="1" x14ac:dyDescent="0.3">
      <c r="A36" s="84" t="s">
        <v>120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</row>
    <row r="37" spans="1:11" ht="17.25" customHeight="1" x14ac:dyDescent="0.3">
      <c r="A37" s="81" t="s">
        <v>87</v>
      </c>
      <c r="B37" s="81"/>
      <c r="C37" s="81"/>
      <c r="D37" s="81"/>
      <c r="E37" s="81"/>
      <c r="F37" s="81"/>
      <c r="G37" s="81"/>
    </row>
    <row r="40" spans="1:11" x14ac:dyDescent="0.3">
      <c r="A40" t="s">
        <v>90</v>
      </c>
      <c r="B40">
        <v>5</v>
      </c>
      <c r="D40" s="10" t="s">
        <v>96</v>
      </c>
      <c r="E40" s="4">
        <f>(B40+B41)/2</f>
        <v>5.5</v>
      </c>
    </row>
    <row r="41" spans="1:11" x14ac:dyDescent="0.3">
      <c r="A41" t="s">
        <v>95</v>
      </c>
      <c r="B41">
        <v>6</v>
      </c>
    </row>
    <row r="46" spans="1:11" ht="18" x14ac:dyDescent="0.35">
      <c r="A46" s="79" t="s">
        <v>97</v>
      </c>
      <c r="B46" s="79"/>
      <c r="C46" s="79"/>
      <c r="D46" s="79"/>
      <c r="E46" s="79"/>
      <c r="F46" s="79"/>
      <c r="G46" s="79"/>
    </row>
    <row r="49" spans="1:7" x14ac:dyDescent="0.3">
      <c r="A49" t="s">
        <v>98</v>
      </c>
      <c r="B49">
        <f>+D14</f>
        <v>7</v>
      </c>
    </row>
    <row r="50" spans="1:7" x14ac:dyDescent="0.3">
      <c r="A50" t="s">
        <v>96</v>
      </c>
      <c r="B50">
        <f>+E40</f>
        <v>5.5</v>
      </c>
      <c r="D50" s="10" t="s">
        <v>100</v>
      </c>
      <c r="E50" s="10">
        <f>+B49/B50</f>
        <v>1.2727272727272727</v>
      </c>
    </row>
    <row r="56" spans="1:7" ht="18" x14ac:dyDescent="0.35">
      <c r="A56" s="79" t="s">
        <v>106</v>
      </c>
      <c r="B56" s="79"/>
      <c r="C56" s="79"/>
      <c r="D56" s="79"/>
      <c r="E56" s="79"/>
      <c r="F56" s="79"/>
      <c r="G56" s="79"/>
    </row>
    <row r="59" spans="1:7" x14ac:dyDescent="0.3">
      <c r="A59" t="s">
        <v>107</v>
      </c>
      <c r="B59">
        <f>+E40</f>
        <v>5.5</v>
      </c>
    </row>
    <row r="60" spans="1:7" x14ac:dyDescent="0.3">
      <c r="A60" t="s">
        <v>256</v>
      </c>
      <c r="B60">
        <f>+E50</f>
        <v>1.2727272727272727</v>
      </c>
    </row>
    <row r="61" spans="1:7" x14ac:dyDescent="0.3">
      <c r="A61" t="s">
        <v>257</v>
      </c>
      <c r="B61">
        <f>30</f>
        <v>30</v>
      </c>
      <c r="D61" s="10" t="s">
        <v>108</v>
      </c>
      <c r="E61" s="10">
        <f>+B61/B60</f>
        <v>23.571428571428573</v>
      </c>
    </row>
  </sheetData>
  <mergeCells count="13">
    <mergeCell ref="A56:G56"/>
    <mergeCell ref="A23:G23"/>
    <mergeCell ref="A15:K15"/>
    <mergeCell ref="A36:K36"/>
    <mergeCell ref="C4:D4"/>
    <mergeCell ref="B4:B5"/>
    <mergeCell ref="A4:A5"/>
    <mergeCell ref="E4:E5"/>
    <mergeCell ref="A2:I2"/>
    <mergeCell ref="A37:G37"/>
    <mergeCell ref="F4:F5"/>
    <mergeCell ref="A46:G46"/>
    <mergeCell ref="A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"/>
  <sheetViews>
    <sheetView topLeftCell="A16" workbookViewId="0">
      <selection activeCell="C22" sqref="C22"/>
    </sheetView>
  </sheetViews>
  <sheetFormatPr baseColWidth="10" defaultRowHeight="14.4" x14ac:dyDescent="0.3"/>
  <cols>
    <col min="1" max="1" width="34.44140625" bestFit="1" customWidth="1"/>
  </cols>
  <sheetData>
    <row r="3" spans="1:13" ht="21" x14ac:dyDescent="0.4">
      <c r="A3" s="74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5" spans="1:13" x14ac:dyDescent="0.3">
      <c r="A5" s="76" t="s">
        <v>200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7" spans="1:13" x14ac:dyDescent="0.3">
      <c r="A7" t="s">
        <v>190</v>
      </c>
      <c r="B7">
        <v>35000</v>
      </c>
      <c r="C7" s="1" t="s">
        <v>201</v>
      </c>
    </row>
    <row r="8" spans="1:13" x14ac:dyDescent="0.3">
      <c r="A8" t="s">
        <v>191</v>
      </c>
      <c r="B8">
        <v>15000</v>
      </c>
      <c r="C8" s="1" t="s">
        <v>201</v>
      </c>
    </row>
    <row r="9" spans="1:13" x14ac:dyDescent="0.3">
      <c r="A9" t="s">
        <v>192</v>
      </c>
      <c r="B9">
        <v>800000</v>
      </c>
      <c r="C9" s="1" t="s">
        <v>201</v>
      </c>
    </row>
    <row r="10" spans="1:13" x14ac:dyDescent="0.3">
      <c r="A10" t="s">
        <v>193</v>
      </c>
      <c r="B10">
        <v>0</v>
      </c>
      <c r="C10" s="1" t="s">
        <v>201</v>
      </c>
    </row>
    <row r="11" spans="1:13" x14ac:dyDescent="0.3">
      <c r="A11" t="s">
        <v>194</v>
      </c>
      <c r="B11">
        <v>230000</v>
      </c>
      <c r="C11" s="1" t="s">
        <v>201</v>
      </c>
    </row>
    <row r="12" spans="1:13" x14ac:dyDescent="0.3">
      <c r="A12" t="s">
        <v>195</v>
      </c>
      <c r="B12">
        <v>53000</v>
      </c>
      <c r="C12" s="1" t="s">
        <v>201</v>
      </c>
    </row>
    <row r="13" spans="1:13" x14ac:dyDescent="0.3">
      <c r="A13" t="s">
        <v>196</v>
      </c>
      <c r="B13">
        <v>1200000</v>
      </c>
      <c r="C13" s="1" t="s">
        <v>201</v>
      </c>
    </row>
    <row r="14" spans="1:13" x14ac:dyDescent="0.3">
      <c r="A14" t="s">
        <v>197</v>
      </c>
      <c r="B14">
        <v>0</v>
      </c>
      <c r="C14" s="1" t="s">
        <v>201</v>
      </c>
    </row>
    <row r="15" spans="1:13" x14ac:dyDescent="0.3">
      <c r="A15" t="s">
        <v>198</v>
      </c>
      <c r="B15">
        <v>300</v>
      </c>
      <c r="C15" s="1" t="s">
        <v>201</v>
      </c>
    </row>
    <row r="16" spans="1:13" x14ac:dyDescent="0.3">
      <c r="A16" t="s">
        <v>199</v>
      </c>
      <c r="B16">
        <v>1000</v>
      </c>
      <c r="C16" s="1" t="s">
        <v>201</v>
      </c>
    </row>
    <row r="19" spans="1:13" ht="18" x14ac:dyDescent="0.35">
      <c r="A19" s="79" t="s">
        <v>202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</row>
    <row r="22" spans="1:13" x14ac:dyDescent="0.3">
      <c r="A22" t="s">
        <v>203</v>
      </c>
      <c r="B22">
        <f>+B9+B10</f>
        <v>800000</v>
      </c>
    </row>
    <row r="23" spans="1:13" x14ac:dyDescent="0.3">
      <c r="A23" t="s">
        <v>204</v>
      </c>
      <c r="B23">
        <f>+B11+B12+B13+B15+B16</f>
        <v>1484300</v>
      </c>
    </row>
    <row r="25" spans="1:13" x14ac:dyDescent="0.3">
      <c r="A25" s="4" t="s">
        <v>205</v>
      </c>
      <c r="B25" s="4">
        <f>+B23+B22</f>
        <v>2284300</v>
      </c>
      <c r="C25" t="s">
        <v>201</v>
      </c>
    </row>
  </sheetData>
  <mergeCells count="3">
    <mergeCell ref="A3:M3"/>
    <mergeCell ref="A5:M5"/>
    <mergeCell ref="A19:M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7"/>
  <sheetViews>
    <sheetView topLeftCell="A13" workbookViewId="0">
      <selection activeCell="B29" sqref="B29"/>
    </sheetView>
  </sheetViews>
  <sheetFormatPr baseColWidth="10" defaultRowHeight="14.4" x14ac:dyDescent="0.3"/>
  <cols>
    <col min="1" max="1" width="34.44140625" bestFit="1" customWidth="1"/>
  </cols>
  <sheetData>
    <row r="3" spans="1:13" ht="21" x14ac:dyDescent="0.4">
      <c r="A3" s="74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5" spans="1:13" x14ac:dyDescent="0.3">
      <c r="A5" s="76" t="s">
        <v>228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7" spans="1:13" x14ac:dyDescent="0.3">
      <c r="A7" t="s">
        <v>19</v>
      </c>
      <c r="B7">
        <v>24</v>
      </c>
      <c r="C7" s="63" t="s">
        <v>24</v>
      </c>
    </row>
    <row r="8" spans="1:13" x14ac:dyDescent="0.3">
      <c r="A8" t="s">
        <v>209</v>
      </c>
      <c r="B8">
        <v>1</v>
      </c>
      <c r="C8" s="63" t="s">
        <v>24</v>
      </c>
    </row>
    <row r="9" spans="1:13" x14ac:dyDescent="0.3">
      <c r="A9" t="s">
        <v>210</v>
      </c>
      <c r="B9">
        <v>2</v>
      </c>
      <c r="C9" s="63" t="s">
        <v>24</v>
      </c>
    </row>
    <row r="10" spans="1:13" x14ac:dyDescent="0.3">
      <c r="A10" t="s">
        <v>211</v>
      </c>
      <c r="B10">
        <v>2.5</v>
      </c>
      <c r="C10" s="63" t="s">
        <v>24</v>
      </c>
    </row>
    <row r="11" spans="1:13" x14ac:dyDescent="0.3">
      <c r="A11" t="s">
        <v>258</v>
      </c>
      <c r="B11">
        <v>1.5</v>
      </c>
      <c r="C11" s="63" t="s">
        <v>24</v>
      </c>
    </row>
    <row r="12" spans="1:13" x14ac:dyDescent="0.3">
      <c r="A12" t="s">
        <v>212</v>
      </c>
      <c r="B12">
        <v>300</v>
      </c>
      <c r="C12" s="63" t="s">
        <v>213</v>
      </c>
    </row>
    <row r="13" spans="1:13" x14ac:dyDescent="0.3">
      <c r="A13" t="s">
        <v>259</v>
      </c>
      <c r="B13">
        <v>4500</v>
      </c>
      <c r="C13" s="63" t="s">
        <v>0</v>
      </c>
    </row>
    <row r="14" spans="1:13" x14ac:dyDescent="0.3">
      <c r="A14" t="s">
        <v>214</v>
      </c>
      <c r="B14">
        <v>120</v>
      </c>
      <c r="C14" s="63" t="s">
        <v>0</v>
      </c>
    </row>
    <row r="15" spans="1:13" x14ac:dyDescent="0.3">
      <c r="C15" s="73"/>
    </row>
    <row r="17" spans="1:2" x14ac:dyDescent="0.3">
      <c r="A17" t="s">
        <v>219</v>
      </c>
      <c r="B17">
        <f>B8+B9</f>
        <v>3</v>
      </c>
    </row>
    <row r="18" spans="1:2" x14ac:dyDescent="0.3">
      <c r="A18" t="s">
        <v>215</v>
      </c>
      <c r="B18">
        <f>+B7-B17</f>
        <v>21</v>
      </c>
    </row>
    <row r="19" spans="1:2" x14ac:dyDescent="0.3">
      <c r="A19" t="s">
        <v>220</v>
      </c>
      <c r="B19">
        <f>B10+B11</f>
        <v>4</v>
      </c>
    </row>
    <row r="20" spans="1:2" x14ac:dyDescent="0.3">
      <c r="A20" t="s">
        <v>216</v>
      </c>
      <c r="B20">
        <f>+B18-B19</f>
        <v>17</v>
      </c>
    </row>
    <row r="21" spans="1:2" x14ac:dyDescent="0.3">
      <c r="A21" t="s">
        <v>221</v>
      </c>
      <c r="B21">
        <f>B20*B12</f>
        <v>5100</v>
      </c>
    </row>
    <row r="22" spans="1:2" x14ac:dyDescent="0.3">
      <c r="A22" t="s">
        <v>222</v>
      </c>
      <c r="B22">
        <f>B21-B13-B14</f>
        <v>480</v>
      </c>
    </row>
    <row r="23" spans="1:2" x14ac:dyDescent="0.3">
      <c r="A23" t="s">
        <v>223</v>
      </c>
      <c r="B23">
        <f>B22/B12</f>
        <v>1.6</v>
      </c>
    </row>
    <row r="24" spans="1:2" x14ac:dyDescent="0.3">
      <c r="A24" t="s">
        <v>217</v>
      </c>
      <c r="B24">
        <f>+B20-B23</f>
        <v>15.4</v>
      </c>
    </row>
    <row r="25" spans="1:2" x14ac:dyDescent="0.3">
      <c r="A25" t="s">
        <v>224</v>
      </c>
      <c r="B25">
        <f>B14/B12</f>
        <v>0.4</v>
      </c>
    </row>
    <row r="26" spans="1:2" x14ac:dyDescent="0.3">
      <c r="A26" t="s">
        <v>218</v>
      </c>
      <c r="B26">
        <f>+B24-B25</f>
        <v>15</v>
      </c>
    </row>
    <row r="29" spans="1:2" x14ac:dyDescent="0.3">
      <c r="A29" t="s">
        <v>154</v>
      </c>
      <c r="B29" s="64">
        <f>B20/B18*100</f>
        <v>80.952380952380949</v>
      </c>
    </row>
    <row r="30" spans="1:2" x14ac:dyDescent="0.3">
      <c r="A30" t="s">
        <v>226</v>
      </c>
      <c r="B30" s="64">
        <f>+B24/B20*100</f>
        <v>90.588235294117652</v>
      </c>
    </row>
    <row r="31" spans="1:2" x14ac:dyDescent="0.3">
      <c r="A31" t="s">
        <v>227</v>
      </c>
      <c r="B31" s="64">
        <f>+B26/B24*100</f>
        <v>97.402597402597408</v>
      </c>
    </row>
    <row r="33" spans="1:3" x14ac:dyDescent="0.3">
      <c r="A33" s="10" t="s">
        <v>225</v>
      </c>
      <c r="B33" s="65">
        <f>+B26/B18*100</f>
        <v>71.428571428571431</v>
      </c>
      <c r="C33">
        <f>0.81*0.9*0.97*100</f>
        <v>70.713000000000008</v>
      </c>
    </row>
    <row r="35" spans="1:3" x14ac:dyDescent="0.3">
      <c r="A35" s="10" t="s">
        <v>233</v>
      </c>
      <c r="B35" s="10">
        <f>+B18/B7*100</f>
        <v>87.5</v>
      </c>
    </row>
    <row r="37" spans="1:3" x14ac:dyDescent="0.3">
      <c r="A37" s="10" t="s">
        <v>173</v>
      </c>
      <c r="B37" s="10">
        <f>+B26/B7*100</f>
        <v>62.5</v>
      </c>
      <c r="C37" s="69">
        <f>0.7143*0.875*100</f>
        <v>62.501250000000006</v>
      </c>
    </row>
  </sheetData>
  <mergeCells count="2">
    <mergeCell ref="A3:M3"/>
    <mergeCell ref="A5:M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H16" sqref="H16"/>
    </sheetView>
  </sheetViews>
  <sheetFormatPr baseColWidth="10" defaultRowHeight="14.4" x14ac:dyDescent="0.3"/>
  <cols>
    <col min="2" max="3" width="7.109375" bestFit="1" customWidth="1"/>
    <col min="4" max="4" width="8.6640625" bestFit="1" customWidth="1"/>
    <col min="5" max="5" width="12.109375" bestFit="1" customWidth="1"/>
    <col min="6" max="6" width="5.44140625" bestFit="1" customWidth="1"/>
    <col min="7" max="7" width="5.33203125" bestFit="1" customWidth="1"/>
    <col min="8" max="8" width="11" bestFit="1" customWidth="1"/>
    <col min="10" max="10" width="8.109375" bestFit="1" customWidth="1"/>
    <col min="11" max="11" width="12.33203125" bestFit="1" customWidth="1"/>
    <col min="12" max="12" width="6.88671875" bestFit="1" customWidth="1"/>
    <col min="13" max="13" width="12.109375" bestFit="1" customWidth="1"/>
    <col min="14" max="14" width="8.5546875" customWidth="1"/>
    <col min="15" max="15" width="6.6640625" customWidth="1"/>
    <col min="16" max="16" width="11.5546875" bestFit="1" customWidth="1"/>
  </cols>
  <sheetData>
    <row r="1" spans="1:16" x14ac:dyDescent="0.3">
      <c r="A1" s="85" t="s">
        <v>121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x14ac:dyDescent="0.3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5" spans="1:16" s="19" customFormat="1" x14ac:dyDescent="0.3">
      <c r="A5" s="87" t="s">
        <v>122</v>
      </c>
      <c r="B5" s="88"/>
      <c r="C5" s="88"/>
      <c r="D5" s="89"/>
      <c r="E5" s="90" t="s">
        <v>123</v>
      </c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s="26" customFormat="1" ht="43.5" customHeight="1" x14ac:dyDescent="0.3">
      <c r="A6" s="24" t="s">
        <v>124</v>
      </c>
      <c r="B6" s="24" t="s">
        <v>125</v>
      </c>
      <c r="C6" s="24" t="s">
        <v>126</v>
      </c>
      <c r="D6" s="24" t="s">
        <v>127</v>
      </c>
      <c r="E6" s="25" t="s">
        <v>128</v>
      </c>
      <c r="F6" s="25" t="s">
        <v>129</v>
      </c>
      <c r="G6" s="25" t="s">
        <v>130</v>
      </c>
      <c r="H6" s="25" t="s">
        <v>131</v>
      </c>
      <c r="I6" s="25" t="s">
        <v>132</v>
      </c>
      <c r="J6" s="25" t="s">
        <v>133</v>
      </c>
      <c r="K6" s="25" t="s">
        <v>134</v>
      </c>
      <c r="L6" s="25" t="s">
        <v>135</v>
      </c>
      <c r="M6" s="25" t="s">
        <v>136</v>
      </c>
      <c r="N6" s="25" t="s">
        <v>137</v>
      </c>
      <c r="O6" s="25" t="s">
        <v>138</v>
      </c>
      <c r="P6" s="25" t="s">
        <v>139</v>
      </c>
    </row>
    <row r="7" spans="1:16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3">
      <c r="A10" s="20"/>
      <c r="B10" s="20"/>
      <c r="C10" s="20"/>
      <c r="D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6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6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</sheetData>
  <mergeCells count="3">
    <mergeCell ref="A1:P2"/>
    <mergeCell ref="A5:D5"/>
    <mergeCell ref="E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R2"/>
    </sheetView>
  </sheetViews>
  <sheetFormatPr baseColWidth="10" defaultRowHeight="14.4" x14ac:dyDescent="0.3"/>
  <sheetData>
    <row r="1" spans="1:18" x14ac:dyDescent="0.3">
      <c r="A1" s="81" t="s">
        <v>188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5" spans="1:18" ht="15.6" x14ac:dyDescent="0.3">
      <c r="A5" s="94" t="s">
        <v>159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O5" s="95" t="s">
        <v>160</v>
      </c>
      <c r="P5" s="95"/>
      <c r="Q5" s="95"/>
      <c r="R5" s="32" t="str">
        <f>+[1]lundi!R1</f>
        <v>SEM 28</v>
      </c>
    </row>
    <row r="6" spans="1:18" s="35" customFormat="1" ht="39.6" x14ac:dyDescent="0.25">
      <c r="A6" s="33" t="s">
        <v>161</v>
      </c>
      <c r="B6" s="33" t="s">
        <v>162</v>
      </c>
      <c r="C6" s="34" t="s">
        <v>163</v>
      </c>
      <c r="D6" s="34" t="s">
        <v>164</v>
      </c>
      <c r="E6" s="33" t="s">
        <v>165</v>
      </c>
      <c r="F6" s="33" t="s">
        <v>166</v>
      </c>
      <c r="G6" s="33" t="s">
        <v>167</v>
      </c>
      <c r="H6" s="33" t="s">
        <v>168</v>
      </c>
      <c r="I6" s="33" t="s">
        <v>169</v>
      </c>
      <c r="J6" s="33" t="s">
        <v>170</v>
      </c>
      <c r="K6" s="33" t="s">
        <v>171</v>
      </c>
      <c r="L6" s="33" t="s">
        <v>172</v>
      </c>
      <c r="M6" s="33" t="s">
        <v>173</v>
      </c>
      <c r="O6" s="96" t="s">
        <v>174</v>
      </c>
      <c r="P6" s="96"/>
      <c r="Q6" s="97">
        <f>(L7+L12+L17)/(F7+F12+F17)</f>
        <v>0.67471886713869211</v>
      </c>
      <c r="R6" s="97"/>
    </row>
    <row r="7" spans="1:18" x14ac:dyDescent="0.3">
      <c r="A7" s="36" t="s">
        <v>175</v>
      </c>
      <c r="B7" s="37">
        <v>1575</v>
      </c>
      <c r="C7" s="38">
        <v>0</v>
      </c>
      <c r="D7" s="38">
        <v>200</v>
      </c>
      <c r="E7" s="39">
        <f>3600/D7</f>
        <v>18</v>
      </c>
      <c r="F7" s="37">
        <v>12</v>
      </c>
      <c r="G7" s="40">
        <f>IF(E7="",0,(3600/E7)*F7)</f>
        <v>2400</v>
      </c>
      <c r="H7" s="41">
        <f>IF(F7=0,0,(F7-R24))</f>
        <v>8.75</v>
      </c>
      <c r="I7" s="40">
        <f>(B7+C7)/(3600/E7)</f>
        <v>7.875</v>
      </c>
      <c r="J7" s="40">
        <f>H7-I7</f>
        <v>0.875</v>
      </c>
      <c r="K7" s="40">
        <f>C7/D7</f>
        <v>0</v>
      </c>
      <c r="L7" s="40">
        <f>I7-K7</f>
        <v>7.875</v>
      </c>
      <c r="M7" s="42">
        <f>L7/F7</f>
        <v>0.65625</v>
      </c>
      <c r="R7" s="43"/>
    </row>
    <row r="8" spans="1:18" ht="15.6" x14ac:dyDescent="0.3">
      <c r="A8" s="94" t="s">
        <v>176</v>
      </c>
      <c r="B8" s="94"/>
      <c r="C8" s="44">
        <f>+L7/F7</f>
        <v>0.65625</v>
      </c>
      <c r="D8" s="45"/>
      <c r="G8" s="43"/>
      <c r="H8" s="43"/>
      <c r="I8" s="43"/>
      <c r="J8" s="43"/>
      <c r="K8" s="43"/>
      <c r="L8" s="43"/>
      <c r="P8" s="43"/>
      <c r="Q8" s="43"/>
    </row>
    <row r="10" spans="1:18" ht="15.6" x14ac:dyDescent="0.3">
      <c r="A10" s="91" t="s">
        <v>177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O10" s="93"/>
      <c r="P10" s="93"/>
      <c r="Q10" s="93"/>
      <c r="R10" s="93"/>
    </row>
    <row r="11" spans="1:18" s="35" customFormat="1" ht="52.8" x14ac:dyDescent="0.25">
      <c r="A11" s="46" t="s">
        <v>161</v>
      </c>
      <c r="B11" s="46" t="s">
        <v>162</v>
      </c>
      <c r="C11" s="47" t="s">
        <v>163</v>
      </c>
      <c r="D11" s="47" t="s">
        <v>164</v>
      </c>
      <c r="E11" s="46" t="s">
        <v>165</v>
      </c>
      <c r="F11" s="46" t="s">
        <v>166</v>
      </c>
      <c r="G11" s="46" t="s">
        <v>167</v>
      </c>
      <c r="H11" s="46" t="s">
        <v>168</v>
      </c>
      <c r="I11" s="46" t="s">
        <v>178</v>
      </c>
      <c r="J11" s="46" t="s">
        <v>170</v>
      </c>
      <c r="K11" s="46" t="s">
        <v>171</v>
      </c>
      <c r="L11" s="46" t="s">
        <v>172</v>
      </c>
      <c r="M11" s="46" t="s">
        <v>173</v>
      </c>
      <c r="O11" s="48"/>
    </row>
    <row r="12" spans="1:18" x14ac:dyDescent="0.3">
      <c r="A12" s="36" t="s">
        <v>175</v>
      </c>
      <c r="B12" s="37">
        <v>1665</v>
      </c>
      <c r="C12" s="38">
        <v>0</v>
      </c>
      <c r="D12" s="38">
        <v>200</v>
      </c>
      <c r="E12" s="39">
        <f>3600/D12</f>
        <v>18</v>
      </c>
      <c r="F12" s="37">
        <v>12</v>
      </c>
      <c r="G12" s="40">
        <f>IF(E12="",0,(3600/E12)*F12)</f>
        <v>2400</v>
      </c>
      <c r="H12" s="41">
        <f>IF(F12=0,0,(F12-R26))</f>
        <v>9.25</v>
      </c>
      <c r="I12" s="40">
        <f>(B12+C12)/(3600/E12)</f>
        <v>8.3249999999999993</v>
      </c>
      <c r="J12" s="40">
        <f>H12-I12</f>
        <v>0.92500000000000071</v>
      </c>
      <c r="K12" s="40">
        <f>C12/D12</f>
        <v>0</v>
      </c>
      <c r="L12" s="40">
        <f>I12-K12</f>
        <v>8.3249999999999993</v>
      </c>
      <c r="M12" s="42">
        <f>L12/F12</f>
        <v>0.69374999999999998</v>
      </c>
      <c r="R12" s="43"/>
    </row>
    <row r="13" spans="1:18" ht="15.6" x14ac:dyDescent="0.3">
      <c r="A13" s="91" t="s">
        <v>179</v>
      </c>
      <c r="B13" s="91"/>
      <c r="C13" s="44">
        <f>+L12/F12</f>
        <v>0.69374999999999998</v>
      </c>
      <c r="D13" s="45"/>
      <c r="G13" s="43"/>
      <c r="H13" s="43"/>
      <c r="I13" s="43"/>
      <c r="J13" s="43"/>
      <c r="K13" s="43"/>
      <c r="L13" s="43"/>
      <c r="P13" s="43"/>
      <c r="Q13" s="43"/>
    </row>
    <row r="14" spans="1:18" x14ac:dyDescent="0.3">
      <c r="B14" s="43"/>
      <c r="G14" s="43"/>
      <c r="H14" s="43"/>
      <c r="I14" s="43"/>
      <c r="J14" s="43"/>
      <c r="K14" s="43"/>
      <c r="L14" s="43"/>
      <c r="P14" s="43"/>
      <c r="Q14" s="43"/>
    </row>
    <row r="15" spans="1:18" ht="15.6" x14ac:dyDescent="0.3">
      <c r="A15" s="92" t="s">
        <v>180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O15" s="93"/>
      <c r="P15" s="93"/>
      <c r="Q15" s="93"/>
      <c r="R15" s="93"/>
    </row>
    <row r="16" spans="1:18" s="35" customFormat="1" ht="52.8" x14ac:dyDescent="0.25">
      <c r="A16" s="49" t="s">
        <v>161</v>
      </c>
      <c r="B16" s="49" t="s">
        <v>162</v>
      </c>
      <c r="C16" s="50" t="s">
        <v>163</v>
      </c>
      <c r="D16" s="50" t="s">
        <v>164</v>
      </c>
      <c r="E16" s="49" t="s">
        <v>165</v>
      </c>
      <c r="F16" s="49" t="s">
        <v>166</v>
      </c>
      <c r="G16" s="49" t="s">
        <v>167</v>
      </c>
      <c r="H16" s="49" t="s">
        <v>168</v>
      </c>
      <c r="I16" s="49" t="s">
        <v>178</v>
      </c>
      <c r="J16" s="49" t="s">
        <v>170</v>
      </c>
      <c r="K16" s="49" t="s">
        <v>171</v>
      </c>
      <c r="L16" s="49" t="s">
        <v>172</v>
      </c>
      <c r="M16" s="49" t="s">
        <v>173</v>
      </c>
    </row>
    <row r="17" spans="1:18" x14ac:dyDescent="0.3">
      <c r="A17" s="36" t="s">
        <v>175</v>
      </c>
      <c r="B17" s="37"/>
      <c r="C17" s="38">
        <v>0</v>
      </c>
      <c r="D17" s="38">
        <v>200</v>
      </c>
      <c r="E17" s="39">
        <f>3600/D17</f>
        <v>18</v>
      </c>
      <c r="F17" s="37">
        <v>0.01</v>
      </c>
      <c r="G17" s="40">
        <f>IF(E17="",0,(3600/E17)*F17)</f>
        <v>2</v>
      </c>
      <c r="H17" s="41">
        <f>IF(F17=0,0,(F17-R29))</f>
        <v>0.01</v>
      </c>
      <c r="I17" s="40">
        <f>(B17+C17)/(3600/E17)</f>
        <v>0</v>
      </c>
      <c r="J17" s="40">
        <f>H17-I17</f>
        <v>0.01</v>
      </c>
      <c r="K17" s="40">
        <f>C17/D17</f>
        <v>0</v>
      </c>
      <c r="L17" s="40">
        <f>I17-K17</f>
        <v>0</v>
      </c>
      <c r="M17" s="42">
        <f>L17/F17</f>
        <v>0</v>
      </c>
      <c r="R17" s="43"/>
    </row>
    <row r="18" spans="1:18" ht="15.6" x14ac:dyDescent="0.3">
      <c r="A18" s="92" t="s">
        <v>181</v>
      </c>
      <c r="B18" s="92"/>
      <c r="C18" s="44">
        <f>+L17/F17</f>
        <v>0</v>
      </c>
      <c r="D18" s="45"/>
      <c r="G18" s="43"/>
      <c r="H18" s="43"/>
      <c r="I18" s="43"/>
      <c r="J18" s="43"/>
      <c r="K18" s="43"/>
      <c r="L18" s="43"/>
      <c r="P18" s="43"/>
      <c r="Q18" s="43"/>
    </row>
    <row r="19" spans="1:18" x14ac:dyDescent="0.3">
      <c r="B19" s="43"/>
    </row>
    <row r="20" spans="1:18" x14ac:dyDescent="0.3">
      <c r="B20" s="43"/>
    </row>
    <row r="23" spans="1:18" ht="89.4" x14ac:dyDescent="0.3">
      <c r="A23" s="102" t="s">
        <v>182</v>
      </c>
      <c r="B23" s="103"/>
      <c r="C23" s="51" t="str">
        <f>[1]lundi!C19</f>
        <v>Haute température d'eau de réfroidissement,</v>
      </c>
      <c r="D23" s="51" t="str">
        <f>[1]lundi!D19</f>
        <v>Bouchage des clapets de la première étage du compresseur CO2</v>
      </c>
      <c r="E23" s="51" t="str">
        <f>[1]lundi!E19</f>
        <v>Bouchage au niveau du circuit de MEA</v>
      </c>
      <c r="F23" s="51" t="str">
        <f>[1]lundi!F19</f>
        <v>Bouchage du groupe frigorifique</v>
      </c>
      <c r="G23" s="51" t="str">
        <f>[1]lundi!G19</f>
        <v>Pannes mécaniques</v>
      </c>
      <c r="H23" s="51" t="str">
        <f>[1]lundi!H19</f>
        <v>Pannes éléctriques.</v>
      </c>
      <c r="I23" s="51" t="str">
        <f>[1]lundi!I19</f>
        <v>Déclanchement de la chaudière</v>
      </c>
      <c r="J23" s="51" t="str">
        <f>[1]lundi!J19</f>
        <v>fuite de CO2 au niveau du clapet antiretour de la  batterie vd 1002</v>
      </c>
      <c r="K23" s="51" t="str">
        <f>[1]lundi!K19</f>
        <v>Déclanchement pompe du circuit fermé</v>
      </c>
      <c r="L23" s="51" t="str">
        <f>[1]lundi!L19</f>
        <v>Haute pression des tanks</v>
      </c>
      <c r="M23" s="51" t="str">
        <f>[1]lundi!M19</f>
        <v>Bouchage du liquéfacteur</v>
      </c>
      <c r="N23" s="51" t="str">
        <f>[1]lundi!N19</f>
        <v>Montage de l'achangeur</v>
      </c>
      <c r="O23" s="51" t="str">
        <f>[1]lundi!O19</f>
        <v>fuite d'eau au circuit fermé</v>
      </c>
      <c r="P23" s="51" t="str">
        <f>[1]lundi!P19</f>
        <v>fuite co2 au niveau de la soupape de securité de la batterie vd4001</v>
      </c>
      <c r="Q23" s="51" t="str">
        <f>[1]lundi!Q19</f>
        <v>Bouchage de la ligne CO2</v>
      </c>
      <c r="R23" s="51">
        <f>[1]lundi!R19</f>
        <v>0</v>
      </c>
    </row>
    <row r="24" spans="1:18" x14ac:dyDescent="0.3">
      <c r="A24" s="104" t="s">
        <v>159</v>
      </c>
      <c r="B24" s="20" t="s">
        <v>183</v>
      </c>
      <c r="C24" s="36"/>
      <c r="D24" s="36"/>
      <c r="E24" s="36"/>
      <c r="F24" s="36"/>
      <c r="G24" s="36">
        <v>3.25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52">
        <f>SUM(B24:P24)</f>
        <v>3.25</v>
      </c>
    </row>
    <row r="25" spans="1:18" x14ac:dyDescent="0.3">
      <c r="A25" s="104"/>
      <c r="B25" s="20" t="s">
        <v>184</v>
      </c>
      <c r="C25" s="53">
        <f t="shared" ref="C25:Q25" si="0">C24/$F$7</f>
        <v>0</v>
      </c>
      <c r="D25" s="53">
        <f t="shared" si="0"/>
        <v>0</v>
      </c>
      <c r="E25" s="53">
        <f t="shared" si="0"/>
        <v>0</v>
      </c>
      <c r="F25" s="53">
        <f t="shared" si="0"/>
        <v>0</v>
      </c>
      <c r="G25" s="53">
        <f t="shared" si="0"/>
        <v>0.27083333333333331</v>
      </c>
      <c r="H25" s="53">
        <f t="shared" si="0"/>
        <v>0</v>
      </c>
      <c r="I25" s="53">
        <f t="shared" si="0"/>
        <v>0</v>
      </c>
      <c r="J25" s="53">
        <f t="shared" si="0"/>
        <v>0</v>
      </c>
      <c r="K25" s="53">
        <f t="shared" si="0"/>
        <v>0</v>
      </c>
      <c r="L25" s="53">
        <f t="shared" si="0"/>
        <v>0</v>
      </c>
      <c r="M25" s="53">
        <f t="shared" si="0"/>
        <v>0</v>
      </c>
      <c r="N25" s="53">
        <f t="shared" si="0"/>
        <v>0</v>
      </c>
      <c r="O25" s="53">
        <f t="shared" si="0"/>
        <v>0</v>
      </c>
      <c r="P25" s="53">
        <f t="shared" si="0"/>
        <v>0</v>
      </c>
      <c r="Q25" s="53">
        <f t="shared" si="0"/>
        <v>0</v>
      </c>
      <c r="R25" s="53">
        <f t="shared" ref="R25:R30" si="1">SUM(B25:Q25)</f>
        <v>0.27083333333333331</v>
      </c>
    </row>
    <row r="26" spans="1:18" x14ac:dyDescent="0.3">
      <c r="A26" s="98" t="s">
        <v>177</v>
      </c>
      <c r="B26" s="20" t="s">
        <v>183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>
        <v>2.75</v>
      </c>
      <c r="O26" s="36"/>
      <c r="P26" s="36"/>
      <c r="Q26" s="36"/>
      <c r="R26" s="52">
        <f t="shared" si="1"/>
        <v>2.75</v>
      </c>
    </row>
    <row r="27" spans="1:18" x14ac:dyDescent="0.3">
      <c r="A27" s="98"/>
      <c r="B27" s="20" t="s">
        <v>184</v>
      </c>
      <c r="C27" s="53">
        <f t="shared" ref="C27:Q27" si="2">C26/$F$7</f>
        <v>0</v>
      </c>
      <c r="D27" s="53">
        <f t="shared" si="2"/>
        <v>0</v>
      </c>
      <c r="E27" s="53">
        <f t="shared" si="2"/>
        <v>0</v>
      </c>
      <c r="F27" s="53">
        <f t="shared" si="2"/>
        <v>0</v>
      </c>
      <c r="G27" s="53">
        <f t="shared" si="2"/>
        <v>0</v>
      </c>
      <c r="H27" s="53">
        <f t="shared" si="2"/>
        <v>0</v>
      </c>
      <c r="I27" s="53">
        <f t="shared" si="2"/>
        <v>0</v>
      </c>
      <c r="J27" s="53">
        <f t="shared" si="2"/>
        <v>0</v>
      </c>
      <c r="K27" s="53">
        <f t="shared" si="2"/>
        <v>0</v>
      </c>
      <c r="L27" s="53">
        <f t="shared" si="2"/>
        <v>0</v>
      </c>
      <c r="M27" s="53">
        <f t="shared" si="2"/>
        <v>0</v>
      </c>
      <c r="N27" s="53">
        <f t="shared" si="2"/>
        <v>0.22916666666666666</v>
      </c>
      <c r="O27" s="53">
        <f t="shared" si="2"/>
        <v>0</v>
      </c>
      <c r="P27" s="53">
        <f t="shared" si="2"/>
        <v>0</v>
      </c>
      <c r="Q27" s="53">
        <f t="shared" si="2"/>
        <v>0</v>
      </c>
      <c r="R27" s="53">
        <f t="shared" si="1"/>
        <v>0.22916666666666666</v>
      </c>
    </row>
    <row r="28" spans="1:18" x14ac:dyDescent="0.3">
      <c r="A28" s="99" t="s">
        <v>180</v>
      </c>
      <c r="B28" s="20" t="s">
        <v>183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52">
        <f t="shared" si="1"/>
        <v>0</v>
      </c>
    </row>
    <row r="29" spans="1:18" x14ac:dyDescent="0.3">
      <c r="A29" s="99"/>
      <c r="B29" s="20" t="s">
        <v>184</v>
      </c>
      <c r="C29" s="53">
        <f t="shared" ref="C29:Q29" si="3">C28/$F$7</f>
        <v>0</v>
      </c>
      <c r="D29" s="53">
        <f t="shared" si="3"/>
        <v>0</v>
      </c>
      <c r="E29" s="53">
        <f t="shared" si="3"/>
        <v>0</v>
      </c>
      <c r="F29" s="53">
        <f t="shared" si="3"/>
        <v>0</v>
      </c>
      <c r="G29" s="53">
        <f t="shared" si="3"/>
        <v>0</v>
      </c>
      <c r="H29" s="53">
        <f t="shared" si="3"/>
        <v>0</v>
      </c>
      <c r="I29" s="53">
        <f t="shared" si="3"/>
        <v>0</v>
      </c>
      <c r="J29" s="53">
        <f t="shared" si="3"/>
        <v>0</v>
      </c>
      <c r="K29" s="53">
        <f t="shared" si="3"/>
        <v>0</v>
      </c>
      <c r="L29" s="53">
        <f t="shared" si="3"/>
        <v>0</v>
      </c>
      <c r="M29" s="53">
        <f t="shared" si="3"/>
        <v>0</v>
      </c>
      <c r="N29" s="53">
        <f t="shared" si="3"/>
        <v>0</v>
      </c>
      <c r="O29" s="53">
        <f t="shared" si="3"/>
        <v>0</v>
      </c>
      <c r="P29" s="53">
        <f t="shared" si="3"/>
        <v>0</v>
      </c>
      <c r="Q29" s="53">
        <f t="shared" si="3"/>
        <v>0</v>
      </c>
      <c r="R29" s="53">
        <f t="shared" si="1"/>
        <v>0</v>
      </c>
    </row>
    <row r="30" spans="1:18" s="55" customFormat="1" ht="13.2" x14ac:dyDescent="0.3">
      <c r="A30" s="100" t="s">
        <v>185</v>
      </c>
      <c r="B30" s="101"/>
      <c r="C30" s="54">
        <f t="shared" ref="C30:Q30" si="4">SUM(C24,C26,C28)/($F$7+$F$12+$F$17)</f>
        <v>0</v>
      </c>
      <c r="D30" s="54">
        <f t="shared" si="4"/>
        <v>0</v>
      </c>
      <c r="E30" s="54">
        <f t="shared" si="4"/>
        <v>0</v>
      </c>
      <c r="F30" s="54">
        <f t="shared" si="4"/>
        <v>0</v>
      </c>
      <c r="G30" s="54">
        <f t="shared" si="4"/>
        <v>0.13536026655560182</v>
      </c>
      <c r="H30" s="54">
        <f t="shared" si="4"/>
        <v>0</v>
      </c>
      <c r="I30" s="54">
        <f t="shared" si="4"/>
        <v>0</v>
      </c>
      <c r="J30" s="54">
        <f t="shared" si="4"/>
        <v>0</v>
      </c>
      <c r="K30" s="54">
        <f t="shared" si="4"/>
        <v>0</v>
      </c>
      <c r="L30" s="54">
        <f t="shared" si="4"/>
        <v>0</v>
      </c>
      <c r="M30" s="54">
        <f t="shared" si="4"/>
        <v>0</v>
      </c>
      <c r="N30" s="54">
        <f t="shared" si="4"/>
        <v>0.11453561016243231</v>
      </c>
      <c r="O30" s="54">
        <f t="shared" si="4"/>
        <v>0</v>
      </c>
      <c r="P30" s="54">
        <f t="shared" si="4"/>
        <v>0</v>
      </c>
      <c r="Q30" s="54">
        <f t="shared" si="4"/>
        <v>0</v>
      </c>
      <c r="R30" s="54">
        <f t="shared" si="1"/>
        <v>0.24989587671803415</v>
      </c>
    </row>
    <row r="31" spans="1:18" ht="15" thickBot="1" x14ac:dyDescent="0.35"/>
    <row r="32" spans="1:18" s="60" customFormat="1" ht="18" thickBot="1" x14ac:dyDescent="0.35">
      <c r="A32" s="56" t="s">
        <v>186</v>
      </c>
      <c r="B32" s="57" t="s">
        <v>187</v>
      </c>
      <c r="C32" s="58"/>
      <c r="D32" s="58"/>
      <c r="E32" s="58"/>
      <c r="F32" s="58"/>
      <c r="G32" s="58"/>
      <c r="H32" s="58"/>
      <c r="I32" s="58"/>
      <c r="J32" s="59"/>
    </row>
  </sheetData>
  <mergeCells count="17">
    <mergeCell ref="A26:A27"/>
    <mergeCell ref="A28:A29"/>
    <mergeCell ref="A30:B30"/>
    <mergeCell ref="A23:B23"/>
    <mergeCell ref="A24:A25"/>
    <mergeCell ref="A1:R2"/>
    <mergeCell ref="A13:B13"/>
    <mergeCell ref="A15:M15"/>
    <mergeCell ref="O15:R15"/>
    <mergeCell ref="A18:B18"/>
    <mergeCell ref="A5:M5"/>
    <mergeCell ref="O5:Q5"/>
    <mergeCell ref="O6:P6"/>
    <mergeCell ref="Q6:R6"/>
    <mergeCell ref="A8:B8"/>
    <mergeCell ref="A10:M10"/>
    <mergeCell ref="O10:R10"/>
  </mergeCells>
  <conditionalFormatting sqref="C8 C13 C18 Q6:R6">
    <cfRule type="cellIs" dxfId="1" priority="1" stopIfTrue="1" operator="greaterThanOrEqual">
      <formula>0.75</formula>
    </cfRule>
    <cfRule type="cellIs" dxfId="0" priority="2" stopIfTrue="1" operator="lessThan">
      <formula>0.75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Niveau de stock</vt:lpstr>
      <vt:lpstr>Maint Cor</vt:lpstr>
      <vt:lpstr>Maint Prév</vt:lpstr>
      <vt:lpstr>Maint Produ</vt:lpstr>
      <vt:lpstr>Gestion des PDR</vt:lpstr>
      <vt:lpstr>CGM</vt:lpstr>
      <vt:lpstr>TRS</vt:lpstr>
      <vt:lpstr>Suivi des interventions</vt:lpstr>
      <vt:lpstr>EX TB1</vt:lpstr>
      <vt:lpstr>EX TB2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MON.PC</dc:creator>
  <cp:lastModifiedBy>Lenovo Thinkpad L15</cp:lastModifiedBy>
  <dcterms:created xsi:type="dcterms:W3CDTF">2022-09-25T13:58:26Z</dcterms:created>
  <dcterms:modified xsi:type="dcterms:W3CDTF">2024-08-26T20:23:25Z</dcterms:modified>
</cp:coreProperties>
</file>